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7"/>
  </bookViews>
  <sheets>
    <sheet name="FINANCE-BASICS" sheetId="1" r:id="rId1"/>
    <sheet name="FINANCE-BASICS-ΛΥΣΗ" sheetId="2" r:id="rId2"/>
    <sheet name="FINANCE" sheetId="3" r:id="rId3"/>
    <sheet name="ΕΦΑΡΜΟΓΕΣ" sheetId="4" r:id="rId4"/>
    <sheet name="ΜΑ-1" sheetId="5" r:id="rId5"/>
    <sheet name="ΠΑ-1" sheetId="6" r:id="rId6"/>
    <sheet name="ΜΑΛΡ-1" sheetId="7" r:id="rId7"/>
    <sheet name="ΠΑΛΡ-1" sheetId="8" r:id="rId8"/>
    <sheet name="σελ.100-Η" sheetId="9" r:id="rId9"/>
    <sheet name="σελ.100-Η-ΛΥΣΗ" sheetId="10" r:id="rId10"/>
    <sheet name="ΕΠΕΝΔΥΣΕΙΣ-ΣΕΛ.84-EXCEL" sheetId="11" r:id="rId11"/>
    <sheet name="NPV-1" sheetId="12" r:id="rId12"/>
    <sheet name="NPV-2" sheetId="13" r:id="rId13"/>
    <sheet name="NPV-3" sheetId="14" r:id="rId14"/>
    <sheet name="PV-NPV" sheetId="15" r:id="rId15"/>
    <sheet name="NPV-IRR" sheetId="16" r:id="rId16"/>
    <sheet name="EV" sheetId="17" r:id="rId17"/>
    <sheet name="EV-ΛΥΣΗ" sheetId="18" r:id="rId18"/>
    <sheet name="NPV-RISK" sheetId="19" r:id="rId19"/>
    <sheet name="X.A.A." sheetId="20" r:id="rId20"/>
    <sheet name="ΧΑΡΤΟΦΥΛΑΚΙΟ" sheetId="21" r:id="rId21"/>
  </sheets>
  <definedNames/>
  <calcPr fullCalcOnLoad="1"/>
</workbook>
</file>

<file path=xl/sharedStrings.xml><?xml version="1.0" encoding="utf-8"?>
<sst xmlns="http://schemas.openxmlformats.org/spreadsheetml/2006/main" count="410" uniqueCount="189">
  <si>
    <t>Έστω ότι :</t>
  </si>
  <si>
    <t>IC=1000</t>
  </si>
  <si>
    <t>i=10%</t>
  </si>
  <si>
    <t>n=6</t>
  </si>
  <si>
    <t>χρόνος</t>
  </si>
  <si>
    <t>PROJECT A</t>
  </si>
  <si>
    <t>ΣΠΑ(6,10)</t>
  </si>
  <si>
    <t>PROJECT B</t>
  </si>
  <si>
    <t>ΕΠΙΛΥΣΗ ΜΕ ΤΥΠΟ(=IRR)</t>
  </si>
  <si>
    <t>ΔΟΚΙΜΗ(PROJECT A)</t>
  </si>
  <si>
    <t>ΕΦΑΡΜΟΓΗ ΕΝΟΤΗΤΑΣ : ΑΞΙΟΛΟΓΗΣΗ  ΕΠΕΝΔΥΣΕΩΝ (σελ.84)</t>
  </si>
  <si>
    <t>Χρόνος</t>
  </si>
  <si>
    <t>Π.Α. =</t>
  </si>
  <si>
    <t>-Αρχικό κόστος</t>
  </si>
  <si>
    <t xml:space="preserve"> =Κ.Π.Α.</t>
  </si>
  <si>
    <t>=NPV($C$3;$B$6:$B$11)-B3</t>
  </si>
  <si>
    <t>=NPV($C$3;$E$6:$E$11)-B3</t>
  </si>
  <si>
    <t>ΣΠΑ(6,15.06)</t>
  </si>
  <si>
    <t>ΣΠΑ(6,20)</t>
  </si>
  <si>
    <t>=(100/300)*12=4</t>
  </si>
  <si>
    <t>Απαιτούνται :</t>
  </si>
  <si>
    <t>2 έτη &amp; 4μήνες</t>
  </si>
  <si>
    <t>4 έτη</t>
  </si>
  <si>
    <t>PROJECT C</t>
  </si>
  <si>
    <t>ΙΑΝ</t>
  </si>
  <si>
    <t>ΦΕΒ</t>
  </si>
  <si>
    <t>ΜΑΡ</t>
  </si>
  <si>
    <t>ΑΠΡ</t>
  </si>
  <si>
    <t>ΜΑΪ</t>
  </si>
  <si>
    <t>ΙΟΥΝ</t>
  </si>
  <si>
    <t>NPV=</t>
  </si>
  <si>
    <t>PV=</t>
  </si>
  <si>
    <t>Το Ακτινολογικό Τμήμα ενός Νοσοκομείου σχεδιάζει να αγοράσει</t>
  </si>
  <si>
    <t>ένα νέο μηχάνημα και συνέλλεξε τα κάτωθι στοιχεία :</t>
  </si>
  <si>
    <t>ΚΟΣΤΟΣ ΕΠΕΝΔΥΣΗΣ</t>
  </si>
  <si>
    <t xml:space="preserve">ΔΙΑΡΚΕΙΑ ΖΩΗΣ </t>
  </si>
  <si>
    <t>ΚΟΣΤΟΣ ΧΡΗΜΑΤΟΣ</t>
  </si>
  <si>
    <t>ΕΠΙΛΥΣΗ</t>
  </si>
  <si>
    <t>Α' ΤΡΟΠΟΣ</t>
  </si>
  <si>
    <t>ΠΑΡΟΥΣΑ ΑΞΙΑ</t>
  </si>
  <si>
    <t>ΣΥΝ.ΠΑΡΟΥΣΑ ΑΞΙΑ</t>
  </si>
  <si>
    <t>ΑΡΧΙΚΗ ΕΠΕΝΔΥΣΗ</t>
  </si>
  <si>
    <t>ΚΑΘΑΡΑ ΠΑΡΟΥΣΑ ΑΞΙΑ</t>
  </si>
  <si>
    <t>ΑΣΚΗΣΗ 1</t>
  </si>
  <si>
    <t>ΚΕΦΑΛΑΙΟ</t>
  </si>
  <si>
    <t>ΕΠΙΤΟΚΙΟ</t>
  </si>
  <si>
    <t>ΠΕΡΙΟΔΟΙ</t>
  </si>
  <si>
    <t>ΜΕΛΛΟΥΣΑ ΑΞΙΑ</t>
  </si>
  <si>
    <t>ΑΣΚΗΣΗ 2</t>
  </si>
  <si>
    <t>ΑΣΚΗΣΗ 3</t>
  </si>
  <si>
    <t>Π.Α. Project A</t>
  </si>
  <si>
    <t>Π.Α. Project B</t>
  </si>
  <si>
    <t>Παρούσα Αξία=Π.Α. =</t>
  </si>
  <si>
    <t xml:space="preserve"> =Καθαρά Π.Α.</t>
  </si>
  <si>
    <t>ΕΠΙΛΥΣΗ ΜΕ ΤΥΠΟ(=NPV)----&gt;</t>
  </si>
  <si>
    <t>ΕΠΙΛΥΣΗ ΜΕ ΤΥΠΟ(=IRR)---&gt;</t>
  </si>
  <si>
    <t>1. Καθαρά παρούσα αξία (ΚΠΑ) = Net Present Value (NPV)</t>
  </si>
  <si>
    <t>2. Ποσοστό εσωτερικής απόδοσης (IRR)</t>
  </si>
  <si>
    <t>3. Περίοδος επανείσπραξης</t>
  </si>
  <si>
    <t xml:space="preserve">Τι ποσό πρέπει να δανεισθεί ένα άτομο σήμερα με ανατοκισμό και ετήσιο επιτόκιο 9%, για να μπορέσει </t>
  </si>
  <si>
    <t>να το εξοφλήσει πληρώνοντας 500.000 € στο τέλος κάθε έτους και για 5 έτη.</t>
  </si>
  <si>
    <t>ΠΑΛΡ</t>
  </si>
  <si>
    <t>Επιχείρηση καταθέτει σε μια τράπεζα στο τέλος κάθε έτους 100.000 € με ανατοκισμό 5% επι 5 έτη.</t>
  </si>
  <si>
    <t>ΜΑΛΡ</t>
  </si>
  <si>
    <t xml:space="preserve">Ποια είναι η αρχική αξία προκαταβλητέας ράντας ετήσιου όρου 1.000.000 € διαρκειας 7 ετών και ετήσιου επιτοκίου 6%. </t>
  </si>
  <si>
    <t>ΠΑΠΡ</t>
  </si>
  <si>
    <t>Επιχείρηση καταθέτει σε μια τράπεζα στην αρχή κάθε έτους 1.000.000 € με ανατοκισμό 6% επι 10 έτη.</t>
  </si>
  <si>
    <t>ΜΑΠΡ</t>
  </si>
  <si>
    <t>ΕΤΗΣΙΑ ΜΕΙΩΣΗ ΛΕΙΤΟΥΡΓΙΚΩΝ ΔΑΠΑΝΩΝ</t>
  </si>
  <si>
    <t>ΓΙΑ ΤΑ ΠΡΩΤΑ 4 ΕΤΗ</t>
  </si>
  <si>
    <t>ΓΙΑ ΤΟ 5ο ΕΤΟΣ</t>
  </si>
  <si>
    <t>ΣΙΕΜΕΝΣ</t>
  </si>
  <si>
    <t>ΒΕΡΛΙΝ</t>
  </si>
  <si>
    <t>ΚΑΘΑΡΑ ΠΑΡΟΥΣΑ ΑΞΙΑ ΔΑΠΑΝΗΣ</t>
  </si>
  <si>
    <t>ΠΡΟΤΙΜΑΤΑΙ</t>
  </si>
  <si>
    <t>ΥΠΟΛΕΙΜΜΑΤΙΚΗ ΑΞΙΑ</t>
  </si>
  <si>
    <t>ΥΦΕΣΗ</t>
  </si>
  <si>
    <t>ΚΑΝΟΝΙΚΕΣ ΣΥΝΘΗΚΕΣ</t>
  </si>
  <si>
    <t>ΑΝΑΚΑΜΨΗ</t>
  </si>
  <si>
    <t>ΚΠΑ PROJECT A</t>
  </si>
  <si>
    <t>ΚΠΑ PROJECT B</t>
  </si>
  <si>
    <t>ΠΙΘΑΝΟΤΗΤΑ ΠΡΑΓΜ/ΣΗΣ</t>
  </si>
  <si>
    <t>σ =</t>
  </si>
  <si>
    <t>ΜΕΣΗ ΚΠΑ =</t>
  </si>
  <si>
    <t>ΜΙΝ =</t>
  </si>
  <si>
    <t>ΜΑΧ =</t>
  </si>
  <si>
    <t>ΚΑΝΟΝΙΚΗ ΚΑΤΑΝΟΜΗ(68%,95%,99%)</t>
  </si>
  <si>
    <t>ΠΡΟΤΙΜΑΤΑΙ ΛΟΓΩ ΜΙΚΡΟΤΕΡΗΣ σ</t>
  </si>
  <si>
    <t>ΣΥΝΤΕΛΕΣΤΗΣ ΜΕΤΑΒΛΗΤΟΤΗΤΑΣ =</t>
  </si>
  <si>
    <t>ΠΡΟΤΙΜΑΤΑΙ ΛΟΓΩ ΜΙΚΡΟΤΕΡΟΥ ΣΥΝΤΕΛΕΣΤΗ ΜΕΤ/ΤΑΣ</t>
  </si>
  <si>
    <t>ΜΕΛΟΥΣΑ ΑΞΙΑ</t>
  </si>
  <si>
    <t>ΠΑΛΡ=ΔΑΝΕΙΟ</t>
  </si>
  <si>
    <t>ΕΠΙΤΟΚΙΟ=</t>
  </si>
  <si>
    <t>Τι ποσό θα εισπράξει στο τέλος του 10ου έτους.</t>
  </si>
  <si>
    <t>Τι ποσό θα εισπράξει στο τέλος του 5ου έτους.</t>
  </si>
  <si>
    <t>ΑΜΥΝΤΙΚΟ</t>
  </si>
  <si>
    <t>ΕΠΙΘΕΤΙΚΟ</t>
  </si>
  <si>
    <t>ΙΣΟΡΡΟΠΗΜΕΝΟ</t>
  </si>
  <si>
    <t>ΕΙΔΟΣ ΧΡΕΟΓΡΑΦΟΥ</t>
  </si>
  <si>
    <t>ΕΥΡΩ-ΟΜΟΛΟΓΑ</t>
  </si>
  <si>
    <t>ΕΥΡΩ-ΜΕΤΟΧΕΣ</t>
  </si>
  <si>
    <t>ΜΕΤΡΗΤΑ</t>
  </si>
  <si>
    <t>ΜΕΤΟΧΕΣ ΕΚΤΟΣ ΕΕ</t>
  </si>
  <si>
    <t>ΟΜΟΛΟΓΑ ΕΚΤΟΣ ΕΕ</t>
  </si>
  <si>
    <t xml:space="preserve"> % ΣΤΟ Χ/ΚΙΟ</t>
  </si>
  <si>
    <t>ΑΝ/ΝΗ ΕΤ.ΑΠ/ΣΗ</t>
  </si>
  <si>
    <t>ΜΕ + ΑΠ/ΣΗ ΜΕΤΟΧΩΝ</t>
  </si>
  <si>
    <t>ΜΕ 0 ΑΠ/ΣΗ ΜΕΤΟΧΩΝ</t>
  </si>
  <si>
    <t>ΜΕ - ΑΠ/ΣΗ ΜΕΤΟΧΩΝ</t>
  </si>
  <si>
    <t>Μ.Ο.</t>
  </si>
  <si>
    <t>ΠΙΘΑΝΟΤΗΤΑ</t>
  </si>
  <si>
    <t>ΚΕΡΔΟΣ</t>
  </si>
  <si>
    <t>ΑΞΙΑ</t>
  </si>
  <si>
    <t>1ο ΕΤΟΣ</t>
  </si>
  <si>
    <t>ΕΤΗΣΙΕΣ ΜΕΙΩΣΕΙΣ ΛΕΙΤΟΥΡΓΙΚΩΝ ΔΑΠΑΝΩΝ</t>
  </si>
  <si>
    <t>=IRR(B6:B12;0.1)</t>
  </si>
  <si>
    <t>=IRR(E6:E12;0.1)</t>
  </si>
  <si>
    <t>=NPV($C$26;$B$7:$B$12)-B26</t>
  </si>
  <si>
    <t>=NPV($F$26;$E$7:$E$12)-B26</t>
  </si>
  <si>
    <t>ΟΙΚΟΝΟΜΙΚΑ ΜΑΘΗΜΑΤΙΚΑ</t>
  </si>
  <si>
    <t>ΠΕΡΙΠΤΩΣΗ</t>
  </si>
  <si>
    <t>ΤΕΛΙΚΗ ΑΞΙΑ</t>
  </si>
  <si>
    <t>Χωρίς Συνάρτηση</t>
  </si>
  <si>
    <t>Ετήσιος ανατοκισμός</t>
  </si>
  <si>
    <t>Εξαμηνιαίος ανατοκισμός</t>
  </si>
  <si>
    <t>Διηνεκής ανατοκισμός</t>
  </si>
  <si>
    <t>Ετήσια προεξόφληση</t>
  </si>
  <si>
    <t>Τριμηνιαία προεξόφληση</t>
  </si>
  <si>
    <t>Ετήσια στοιχεία------&gt;</t>
  </si>
  <si>
    <t>ΡΑΝΤΕΣ</t>
  </si>
  <si>
    <t>Παρ.αξία Ληξ/μης Ράντας(6μηνο)</t>
  </si>
  <si>
    <t>Παρ.αξία Ληξ/μης Ράντας(3μηνο)</t>
  </si>
  <si>
    <t>Τελ.αξία Ληξ/μης Ράντας(6μηνο)</t>
  </si>
  <si>
    <t>Τελ.αξία Ληξ/μης Ράντας(3μηνο)</t>
  </si>
  <si>
    <t>Παρ.αξία Πρ/τεας Ράντας(6μηνο)</t>
  </si>
  <si>
    <t>Παρ.αξία Πρ/τεας Ράντας(3μηνο)</t>
  </si>
  <si>
    <t>Τελ.αξία Πρ/τεας Ράντας(6μηνο)</t>
  </si>
  <si>
    <t>Τελ.αξία Πρ/τεας Ράντας(3μηνο)</t>
  </si>
  <si>
    <t>Παρ.αξία Πρ/τεας Ράντας(μηνιαία)</t>
  </si>
  <si>
    <t>Παρ.αξία Διηνεκούς Ληξ/μης Ράντας</t>
  </si>
  <si>
    <t>Μηνιαία Δόση Δανείου</t>
  </si>
  <si>
    <t>ETH</t>
  </si>
  <si>
    <t>Εστω ότι έχετε να εισπράξετε τα παρακάτω ποσά στο τέλος κάθε μήνα.</t>
  </si>
  <si>
    <t>Ποια είναι η Παρούσα αξία σήμερα (1/1/) ;</t>
  </si>
  <si>
    <t>Examples of NPV and IRR functions</t>
  </si>
  <si>
    <t>Date</t>
  </si>
  <si>
    <t>Cash Flow</t>
  </si>
  <si>
    <t>ΕΠΟΤΟΚΙΟ</t>
  </si>
  <si>
    <t>ΜΑ</t>
  </si>
  <si>
    <t>ΠΑ</t>
  </si>
  <si>
    <t>Ο δείκτης του Χ.Α.Α. την Δευτέρα έκλεισε στις 2865 μονάδες.</t>
  </si>
  <si>
    <t>Τις επόμενες μέρες είχαμε τα εξής στοιχεία :</t>
  </si>
  <si>
    <t>Κλείσιμο Τρίτης =</t>
  </si>
  <si>
    <t>άνοδος</t>
  </si>
  <si>
    <t>Κλείσιμο Τετάρτης =</t>
  </si>
  <si>
    <t>Κλείσιμο Πέμπτης =</t>
  </si>
  <si>
    <t>πτώση</t>
  </si>
  <si>
    <t>Κλείσιμο Παρασκευής =</t>
  </si>
  <si>
    <t>Να ευρεθεί με πόσες μονάδες άνοιξε ο δείκτης την Δευτέρα.</t>
  </si>
  <si>
    <t>company</t>
  </si>
  <si>
    <t>shares</t>
  </si>
  <si>
    <t>price</t>
  </si>
  <si>
    <t>dps</t>
  </si>
  <si>
    <t>actual return</t>
  </si>
  <si>
    <t>a1</t>
  </si>
  <si>
    <t>a2</t>
  </si>
  <si>
    <t>a3</t>
  </si>
  <si>
    <t>a4</t>
  </si>
  <si>
    <t>ΕΤΗΣΙΕΣ ΜΕΙΩΣΕΙΣ ΛΕΙΤΟΥΡΓΙΚΩΝ ΔΑΠΑΝΩΝ-1</t>
  </si>
  <si>
    <t>ΕΤΗΣΙΕΣ ΜΕΙΩΣΕΙΣ ΛΕΙΤΟΥΡΓΙΚΩΝ ΔΑΠΑΝΩΝ-2</t>
  </si>
  <si>
    <t>ΕΤΗΣΙΕΣ ΜΕΙΩΣΕΙΣ ΛΕΙΤΟΥΡΓΙΚΩΝ ΔΑΠΑΝΩΝ-3</t>
  </si>
  <si>
    <t>ΕΤΗΣΙΕΣ ΜΕΙΩΣΕΙΣ ΛΕΙΤΟΥΡΓΙΚΩΝ ΔΑΠΑΝΩΝ-4</t>
  </si>
  <si>
    <t>ΕΤΗΣΙΕΣ ΜΕΙΩΣΕΙΣ ΛΕΙΤΟΥΡΓΙΚΩΝ ΔΑΠΑΝΩΝ-5</t>
  </si>
  <si>
    <t>=IRR(B7:B15)</t>
  </si>
  <si>
    <t>=NPV(B5;B23;B24;B25;B26;B27;B28;B29;B30;B31)</t>
  </si>
  <si>
    <t>Κατάθεση 1000 € στο ταμιευτήριο για 4 χρόνια με 8% επιτόκιο.</t>
  </si>
  <si>
    <t>Τριμηνιαίος ανατοκισμός</t>
  </si>
  <si>
    <t>Κατάθεση 10000 € στο ταμιευτήριο για 5 χρόνια με 20% επιτόκιο.</t>
  </si>
  <si>
    <t>Κατάθεση 1000 € στο τέλος κάθε χρόνου στο ταμιευτήριο για 6 χρόνια με 8% επιτόκιο.</t>
  </si>
  <si>
    <t>Τελ.αξία Ληξ/μης Ράντας(ετήσια)</t>
  </si>
  <si>
    <t>Θα εισπράξετε 20000 σε  6 χρόνια.Αν κερδίζετε 10% απο τις επενδύσεις σας, ποιο είναι το μεγαλύτερο ποσό που θα δώσετε για αυτή την ευκαιρία.</t>
  </si>
  <si>
    <t>Εστω μια προνομιούχος μετοχή ή μια ομολογία αόριστης διάρκειας δίνει 80 € ετησίως και το προεξοφλητικό επιτόκιο είναι 10%.Πόοο αξίζει.</t>
  </si>
  <si>
    <t>Ετήσια Δόση Δανείου</t>
  </si>
  <si>
    <t>Δανείζεστε 200000 για 5 χρόνια με επιτόκιο 14%. Η ετήσια καταβολή στο τέλος κάθε χρόνου είναι….</t>
  </si>
  <si>
    <t>Να υπολογίσετε τις ισόποσες καταθέσεις στο τέλος κάθε έτους για 5 έτη , ώστε να έχετε 5000 € (επιτόκιο 10%).</t>
  </si>
  <si>
    <t>Τελ.αξία Ληξ/μης Ράντας(έτος)</t>
  </si>
  <si>
    <t>ΟΜΟΛΟΓΙΕΣ</t>
  </si>
  <si>
    <t>Ομολογία  10 ετών με 10% τοκομερίδιο καταβάλει τόκους κάθε εξάμηνο και έχει ονομαστική αξία 1000 €.. Αν τα επιτόκια γίνουν 12%, να ευρεθεί η αξία της ομολογίας.</t>
  </si>
  <si>
    <r>
      <t xml:space="preserve">Π.Α.1 </t>
    </r>
    <r>
      <rPr>
        <u val="single"/>
        <sz val="10"/>
        <rFont val="Arial Greek"/>
        <family val="0"/>
      </rPr>
      <t>€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</si>
</sst>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0.0000"/>
    <numFmt numFmtId="176" formatCode="#.##0_ ;[Red]\-#.##0\ "/>
    <numFmt numFmtId="177" formatCode="0.0%"/>
    <numFmt numFmtId="178" formatCode="&quot;$&quot;#,##0.00_);\(&quot;$&quot;#,##0.00\)"/>
    <numFmt numFmtId="179" formatCode="General_)"/>
    <numFmt numFmtId="180" formatCode="d/m/yy"/>
    <numFmt numFmtId="181" formatCode="0.000"/>
    <numFmt numFmtId="182" formatCode="#,##0\ &quot;€&quot;"/>
    <numFmt numFmtId="183" formatCode="[$€-2]\ #,##0.00_);[Red]\([$€-2]\ #,##0.00\)"/>
    <numFmt numFmtId="184" formatCode="#,##0_ ;[Red]\-#,##0\ "/>
    <numFmt numFmtId="185" formatCode="#,##0.00\ [$€-408]"/>
    <numFmt numFmtId="186" formatCode="#,##0.00\ &quot;€&quot;"/>
    <numFmt numFmtId="187" formatCode="#,##0\ _€"/>
    <numFmt numFmtId="188" formatCode="#,##0.000\ &quot;€&quot;"/>
  </numFmts>
  <fonts count="69">
    <font>
      <sz val="10"/>
      <name val="Arial Greek"/>
      <family val="0"/>
    </font>
    <font>
      <b/>
      <u val="single"/>
      <sz val="10"/>
      <name val="Arial Greek"/>
      <family val="0"/>
    </font>
    <font>
      <b/>
      <u val="single"/>
      <sz val="9"/>
      <name val="Arial Greek"/>
      <family val="0"/>
    </font>
    <font>
      <sz val="9"/>
      <name val="Arial Greek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 Greek"/>
      <family val="0"/>
    </font>
    <font>
      <b/>
      <u val="single"/>
      <sz val="9"/>
      <name val="Arial"/>
      <family val="2"/>
    </font>
    <font>
      <b/>
      <u val="single"/>
      <sz val="8"/>
      <name val="Arial Greek"/>
      <family val="0"/>
    </font>
    <font>
      <b/>
      <sz val="9"/>
      <name val="Arial"/>
      <family val="2"/>
    </font>
    <font>
      <b/>
      <sz val="10"/>
      <name val="Arial Greek"/>
      <family val="2"/>
    </font>
    <font>
      <b/>
      <i/>
      <u val="single"/>
      <sz val="10"/>
      <name val="Arial Greek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b/>
      <sz val="9"/>
      <color indexed="10"/>
      <name val="Arial Greek"/>
      <family val="0"/>
    </font>
    <font>
      <b/>
      <u val="single"/>
      <sz val="12"/>
      <name val="Arial Greek"/>
      <family val="0"/>
    </font>
    <font>
      <b/>
      <u val="single"/>
      <sz val="11"/>
      <name val="Arial Greek"/>
      <family val="0"/>
    </font>
    <font>
      <b/>
      <u val="single"/>
      <sz val="12"/>
      <name val="Arial"/>
      <family val="2"/>
    </font>
    <font>
      <b/>
      <sz val="8"/>
      <name val="Arial Greek"/>
      <family val="0"/>
    </font>
    <font>
      <u val="single"/>
      <sz val="10"/>
      <name val="Arial Greek"/>
      <family val="0"/>
    </font>
    <font>
      <b/>
      <sz val="10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b/>
      <u val="single"/>
      <sz val="12"/>
      <color indexed="10"/>
      <name val="Arial Greek"/>
      <family val="0"/>
    </font>
    <font>
      <sz val="12"/>
      <name val="Arial Greek"/>
      <family val="0"/>
    </font>
    <font>
      <b/>
      <u val="single"/>
      <sz val="12"/>
      <color indexed="60"/>
      <name val="Arial Greek"/>
      <family val="0"/>
    </font>
    <font>
      <b/>
      <u val="single"/>
      <sz val="12"/>
      <color indexed="14"/>
      <name val="Arial Greek"/>
      <family val="0"/>
    </font>
    <font>
      <sz val="12"/>
      <name val="Arial"/>
      <family val="2"/>
    </font>
    <font>
      <b/>
      <u val="single"/>
      <sz val="12"/>
      <color indexed="12"/>
      <name val="Arial Greek"/>
      <family val="0"/>
    </font>
    <font>
      <b/>
      <sz val="12"/>
      <color indexed="14"/>
      <name val="Arial Greek"/>
      <family val="0"/>
    </font>
    <font>
      <sz val="12"/>
      <color indexed="11"/>
      <name val="Arial Greek"/>
      <family val="0"/>
    </font>
    <font>
      <i/>
      <u val="single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ck"/>
      <right style="thick"/>
      <top style="thick"/>
      <bottom style="thick"/>
      <diagonal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3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8" borderId="1" applyNumberFormat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 vertical="top"/>
    </xf>
    <xf numFmtId="0" fontId="7" fillId="0" borderId="0" xfId="0" applyFont="1" applyAlignment="1" quotePrefix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 quotePrefix="1">
      <alignment horizontal="center"/>
    </xf>
    <xf numFmtId="9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right"/>
    </xf>
    <xf numFmtId="176" fontId="2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/>
    </xf>
    <xf numFmtId="167" fontId="10" fillId="34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182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/>
    </xf>
    <xf numFmtId="175" fontId="3" fillId="36" borderId="0" xfId="0" applyNumberFormat="1" applyFont="1" applyFill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1" fontId="2" fillId="37" borderId="10" xfId="0" applyNumberFormat="1" applyFont="1" applyFill="1" applyBorder="1" applyAlignment="1">
      <alignment horizontal="center"/>
    </xf>
    <xf numFmtId="0" fontId="14" fillId="38" borderId="0" xfId="0" applyFont="1" applyFill="1" applyAlignment="1">
      <alignment/>
    </xf>
    <xf numFmtId="0" fontId="3" fillId="39" borderId="0" xfId="0" applyFont="1" applyFill="1" applyAlignment="1">
      <alignment/>
    </xf>
    <xf numFmtId="10" fontId="3" fillId="39" borderId="0" xfId="0" applyNumberFormat="1" applyFont="1" applyFill="1" applyAlignment="1">
      <alignment horizontal="center"/>
    </xf>
    <xf numFmtId="9" fontId="3" fillId="39" borderId="0" xfId="0" applyNumberFormat="1" applyFont="1" applyFill="1" applyAlignment="1">
      <alignment horizontal="center"/>
    </xf>
    <xf numFmtId="10" fontId="2" fillId="39" borderId="0" xfId="0" applyNumberFormat="1" applyFont="1" applyFill="1" applyAlignment="1">
      <alignment/>
    </xf>
    <xf numFmtId="9" fontId="2" fillId="39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4" fillId="40" borderId="0" xfId="0" applyFont="1" applyFill="1" applyAlignment="1">
      <alignment/>
    </xf>
    <xf numFmtId="9" fontId="3" fillId="0" borderId="0" xfId="0" applyNumberFormat="1" applyFont="1" applyFill="1" applyAlignment="1">
      <alignment horizontal="center"/>
    </xf>
    <xf numFmtId="0" fontId="15" fillId="39" borderId="0" xfId="0" applyFont="1" applyFill="1" applyAlignment="1">
      <alignment/>
    </xf>
    <xf numFmtId="0" fontId="16" fillId="0" borderId="0" xfId="0" applyFont="1" applyAlignment="1">
      <alignment/>
    </xf>
    <xf numFmtId="0" fontId="16" fillId="39" borderId="0" xfId="0" applyFont="1" applyFill="1" applyAlignment="1">
      <alignment/>
    </xf>
    <xf numFmtId="0" fontId="17" fillId="39" borderId="0" xfId="0" applyFont="1" applyFill="1" applyAlignment="1">
      <alignment horizontal="left"/>
    </xf>
    <xf numFmtId="0" fontId="4" fillId="39" borderId="0" xfId="0" applyFont="1" applyFill="1" applyAlignment="1">
      <alignment horizontal="right"/>
    </xf>
    <xf numFmtId="175" fontId="3" fillId="39" borderId="0" xfId="0" applyNumberFormat="1" applyFont="1" applyFill="1" applyAlignment="1">
      <alignment/>
    </xf>
    <xf numFmtId="0" fontId="9" fillId="41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34" borderId="0" xfId="0" applyFont="1" applyFill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18" fillId="0" borderId="0" xfId="0" applyFont="1" applyAlignment="1" quotePrefix="1">
      <alignment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0" fillId="33" borderId="0" xfId="0" applyFill="1" applyAlignment="1">
      <alignment horizontal="center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6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13" fillId="0" borderId="0" xfId="0" applyNumberFormat="1" applyFont="1" applyAlignment="1">
      <alignment horizontal="left"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 horizontal="left"/>
    </xf>
    <xf numFmtId="0" fontId="0" fillId="38" borderId="0" xfId="0" applyFill="1" applyAlignment="1">
      <alignment/>
    </xf>
    <xf numFmtId="0" fontId="1" fillId="42" borderId="0" xfId="0" applyFont="1" applyFill="1" applyAlignment="1">
      <alignment/>
    </xf>
    <xf numFmtId="0" fontId="1" fillId="42" borderId="0" xfId="0" applyFont="1" applyFill="1" applyAlignment="1">
      <alignment horizontal="center"/>
    </xf>
    <xf numFmtId="10" fontId="1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8" fontId="20" fillId="34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13" fillId="34" borderId="10" xfId="0" applyFont="1" applyFill="1" applyBorder="1" applyAlignment="1">
      <alignment/>
    </xf>
    <xf numFmtId="8" fontId="0" fillId="34" borderId="10" xfId="0" applyNumberFormat="1" applyFill="1" applyBorder="1" applyAlignment="1">
      <alignment/>
    </xf>
    <xf numFmtId="0" fontId="13" fillId="34" borderId="15" xfId="0" applyFont="1" applyFill="1" applyBorder="1" applyAlignment="1">
      <alignment/>
    </xf>
    <xf numFmtId="8" fontId="0" fillId="34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3" fillId="37" borderId="0" xfId="0" applyFont="1" applyFill="1" applyAlignment="1">
      <alignment/>
    </xf>
    <xf numFmtId="1" fontId="13" fillId="34" borderId="15" xfId="0" applyNumberFormat="1" applyFont="1" applyFill="1" applyBorder="1" applyAlignment="1">
      <alignment/>
    </xf>
    <xf numFmtId="6" fontId="0" fillId="34" borderId="10" xfId="0" applyNumberFormat="1" applyFill="1" applyBorder="1" applyAlignment="1">
      <alignment/>
    </xf>
    <xf numFmtId="1" fontId="0" fillId="34" borderId="15" xfId="0" applyNumberFormat="1" applyFill="1" applyBorder="1" applyAlignment="1">
      <alignment horizontal="left"/>
    </xf>
    <xf numFmtId="1" fontId="13" fillId="34" borderId="10" xfId="0" applyNumberFormat="1" applyFont="1" applyFill="1" applyBorder="1" applyAlignment="1">
      <alignment horizontal="left"/>
    </xf>
    <xf numFmtId="184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167" fontId="10" fillId="37" borderId="10" xfId="0" applyNumberFormat="1" applyFont="1" applyFill="1" applyBorder="1" applyAlignment="1">
      <alignment/>
    </xf>
    <xf numFmtId="8" fontId="0" fillId="37" borderId="10" xfId="0" applyNumberFormat="1" applyFill="1" applyBorder="1" applyAlignment="1">
      <alignment/>
    </xf>
    <xf numFmtId="0" fontId="3" fillId="42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0" fontId="6" fillId="39" borderId="0" xfId="0" applyNumberFormat="1" applyFont="1" applyFill="1" applyAlignment="1">
      <alignment horizontal="center"/>
    </xf>
    <xf numFmtId="9" fontId="6" fillId="39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42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42" borderId="16" xfId="0" applyFont="1" applyFill="1" applyBorder="1" applyAlignment="1">
      <alignment horizontal="right"/>
    </xf>
    <xf numFmtId="0" fontId="3" fillId="42" borderId="16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37" borderId="0" xfId="0" applyFont="1" applyFill="1" applyAlignment="1" quotePrefix="1">
      <alignment horizontal="left"/>
    </xf>
    <xf numFmtId="0" fontId="0" fillId="37" borderId="0" xfId="0" applyFont="1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 horizontal="center"/>
    </xf>
    <xf numFmtId="177" fontId="0" fillId="0" borderId="0" xfId="0" applyNumberFormat="1" applyAlignment="1">
      <alignment horizontal="center"/>
    </xf>
    <xf numFmtId="185" fontId="0" fillId="0" borderId="0" xfId="0" applyNumberFormat="1" applyAlignment="1">
      <alignment/>
    </xf>
    <xf numFmtId="0" fontId="0" fillId="37" borderId="0" xfId="0" applyFill="1" applyAlignment="1">
      <alignment/>
    </xf>
    <xf numFmtId="0" fontId="23" fillId="0" borderId="0" xfId="0" applyFont="1" applyAlignment="1">
      <alignment/>
    </xf>
    <xf numFmtId="0" fontId="0" fillId="0" borderId="0" xfId="0" applyAlignment="1" quotePrefix="1">
      <alignment/>
    </xf>
    <xf numFmtId="10" fontId="0" fillId="43" borderId="0" xfId="0" applyNumberFormat="1" applyFill="1" applyAlignment="1">
      <alignment/>
    </xf>
    <xf numFmtId="14" fontId="0" fillId="0" borderId="0" xfId="0" applyNumberFormat="1" applyAlignment="1">
      <alignment/>
    </xf>
    <xf numFmtId="178" fontId="0" fillId="43" borderId="0" xfId="0" applyNumberFormat="1" applyFill="1" applyAlignment="1" quotePrefix="1">
      <alignment/>
    </xf>
    <xf numFmtId="0" fontId="24" fillId="0" borderId="0" xfId="0" applyFont="1" applyAlignment="1">
      <alignment/>
    </xf>
    <xf numFmtId="0" fontId="0" fillId="33" borderId="10" xfId="0" applyFill="1" applyBorder="1" applyAlignment="1">
      <alignment/>
    </xf>
    <xf numFmtId="175" fontId="0" fillId="0" borderId="0" xfId="0" applyNumberFormat="1" applyAlignment="1">
      <alignment/>
    </xf>
    <xf numFmtId="175" fontId="24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9" fontId="0" fillId="33" borderId="10" xfId="0" applyNumberFormat="1" applyFill="1" applyBorder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10" fillId="34" borderId="0" xfId="0" applyFont="1" applyFill="1" applyAlignment="1" quotePrefix="1">
      <alignment/>
    </xf>
    <xf numFmtId="0" fontId="10" fillId="0" borderId="0" xfId="0" applyFont="1" applyFill="1" applyAlignment="1" quotePrefix="1">
      <alignment/>
    </xf>
    <xf numFmtId="178" fontId="10" fillId="34" borderId="0" xfId="0" applyNumberFormat="1" applyFont="1" applyFill="1" applyAlignment="1" quotePrefix="1">
      <alignment/>
    </xf>
    <xf numFmtId="0" fontId="0" fillId="34" borderId="0" xfId="0" applyFill="1" applyAlignment="1">
      <alignment/>
    </xf>
    <xf numFmtId="10" fontId="0" fillId="0" borderId="0" xfId="0" applyNumberFormat="1" applyFill="1" applyAlignment="1">
      <alignment/>
    </xf>
    <xf numFmtId="18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2" fillId="44" borderId="0" xfId="0" applyFont="1" applyFill="1" applyAlignment="1">
      <alignment/>
    </xf>
    <xf numFmtId="0" fontId="16" fillId="44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3" fontId="26" fillId="0" borderId="15" xfId="49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15" fillId="0" borderId="15" xfId="0" applyFont="1" applyFill="1" applyBorder="1" applyAlignment="1">
      <alignment horizontal="left"/>
    </xf>
    <xf numFmtId="186" fontId="29" fillId="0" borderId="15" xfId="0" applyNumberFormat="1" applyFont="1" applyFill="1" applyBorder="1" applyAlignment="1">
      <alignment horizontal="center" vertical="top" wrapText="1"/>
    </xf>
    <xf numFmtId="186" fontId="26" fillId="0" borderId="15" xfId="0" applyNumberFormat="1" applyFont="1" applyFill="1" applyBorder="1" applyAlignment="1">
      <alignment/>
    </xf>
    <xf numFmtId="0" fontId="26" fillId="35" borderId="15" xfId="0" applyFont="1" applyFill="1" applyBorder="1" applyAlignment="1">
      <alignment horizontal="center"/>
    </xf>
    <xf numFmtId="8" fontId="26" fillId="0" borderId="0" xfId="0" applyNumberFormat="1" applyFont="1" applyFill="1" applyAlignment="1">
      <alignment/>
    </xf>
    <xf numFmtId="8" fontId="32" fillId="0" borderId="0" xfId="0" applyNumberFormat="1" applyFont="1" applyFill="1" applyAlignment="1">
      <alignment/>
    </xf>
    <xf numFmtId="186" fontId="26" fillId="0" borderId="15" xfId="49" applyNumberFormat="1" applyFont="1" applyFill="1" applyBorder="1" applyAlignment="1">
      <alignment horizontal="center"/>
    </xf>
    <xf numFmtId="182" fontId="26" fillId="33" borderId="15" xfId="0" applyNumberFormat="1" applyFont="1" applyFill="1" applyBorder="1" applyAlignment="1">
      <alignment/>
    </xf>
    <xf numFmtId="0" fontId="26" fillId="33" borderId="15" xfId="0" applyFont="1" applyFill="1" applyBorder="1" applyAlignment="1">
      <alignment horizontal="center"/>
    </xf>
    <xf numFmtId="186" fontId="26" fillId="45" borderId="15" xfId="0" applyNumberFormat="1" applyFont="1" applyFill="1" applyBorder="1" applyAlignment="1">
      <alignment/>
    </xf>
    <xf numFmtId="3" fontId="26" fillId="45" borderId="15" xfId="49" applyNumberFormat="1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8" fontId="13" fillId="0" borderId="0" xfId="0" applyNumberFormat="1" applyFont="1" applyAlignment="1">
      <alignment/>
    </xf>
    <xf numFmtId="0" fontId="33" fillId="0" borderId="0" xfId="0" applyFont="1" applyAlignment="1" quotePrefix="1">
      <alignment horizontal="center"/>
    </xf>
    <xf numFmtId="0" fontId="25" fillId="0" borderId="15" xfId="0" applyFont="1" applyFill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10" fillId="0" borderId="0" xfId="0" applyFont="1" applyAlignment="1">
      <alignment/>
    </xf>
    <xf numFmtId="175" fontId="68" fillId="0" borderId="0" xfId="0" applyNumberFormat="1" applyFont="1" applyAlignment="1">
      <alignment/>
    </xf>
    <xf numFmtId="175" fontId="0" fillId="0" borderId="0" xfId="0" applyNumberFormat="1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21</xdr:row>
      <xdr:rowOff>0</xdr:rowOff>
    </xdr:from>
    <xdr:to>
      <xdr:col>5</xdr:col>
      <xdr:colOff>676275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67690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14</xdr:row>
      <xdr:rowOff>0</xdr:rowOff>
    </xdr:from>
    <xdr:to>
      <xdr:col>4</xdr:col>
      <xdr:colOff>676275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0565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676275</xdr:colOff>
      <xdr:row>18</xdr:row>
      <xdr:rowOff>0</xdr:rowOff>
    </xdr:from>
    <xdr:to>
      <xdr:col>5</xdr:col>
      <xdr:colOff>676275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007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4.875" style="0" bestFit="1" customWidth="1"/>
    <col min="2" max="2" width="5.00390625" style="0" bestFit="1" customWidth="1"/>
    <col min="3" max="3" width="15.00390625" style="0" customWidth="1"/>
    <col min="4" max="4" width="15.375" style="0" customWidth="1"/>
    <col min="5" max="5" width="17.00390625" style="0" customWidth="1"/>
    <col min="6" max="6" width="15.125" style="0" bestFit="1" customWidth="1"/>
  </cols>
  <sheetData>
    <row r="1" spans="1:2" ht="12.75">
      <c r="A1" t="s">
        <v>45</v>
      </c>
      <c r="B1">
        <v>0.1</v>
      </c>
    </row>
    <row r="2" spans="1:2" ht="12.75">
      <c r="A2" t="s">
        <v>46</v>
      </c>
      <c r="B2">
        <v>3</v>
      </c>
    </row>
    <row r="3" spans="1:2" ht="12.75">
      <c r="A3" t="s">
        <v>44</v>
      </c>
      <c r="B3">
        <v>1000</v>
      </c>
    </row>
    <row r="4" ht="13.5" thickBot="1"/>
    <row r="5" spans="1:5" ht="14.25" thickBot="1" thickTop="1">
      <c r="A5" t="s">
        <v>46</v>
      </c>
      <c r="B5" s="81">
        <v>0</v>
      </c>
      <c r="C5" s="82">
        <v>1</v>
      </c>
      <c r="D5" s="82">
        <v>2</v>
      </c>
      <c r="E5" s="83">
        <v>3</v>
      </c>
    </row>
    <row r="6" spans="2:7" ht="14.25" thickBot="1" thickTop="1">
      <c r="B6" s="43">
        <f>B3</f>
        <v>1000</v>
      </c>
      <c r="C6" s="101"/>
      <c r="D6" s="101"/>
      <c r="E6" s="101"/>
      <c r="F6" s="38" t="s">
        <v>90</v>
      </c>
      <c r="G6" s="103"/>
    </row>
    <row r="7" spans="1:6" ht="13.5" thickTop="1">
      <c r="A7" s="38" t="s">
        <v>39</v>
      </c>
      <c r="B7" s="40"/>
      <c r="C7" s="100"/>
      <c r="D7" s="100"/>
      <c r="E7" s="43">
        <v>1331</v>
      </c>
      <c r="F7" s="102"/>
    </row>
    <row r="8" ht="12.75">
      <c r="A8" s="102"/>
    </row>
    <row r="9" ht="12.75">
      <c r="A9" s="103"/>
    </row>
    <row r="10" ht="13.5" thickBot="1">
      <c r="A10" s="80"/>
    </row>
    <row r="11" spans="2:6" ht="14.25" thickBot="1" thickTop="1">
      <c r="B11" s="81">
        <v>0</v>
      </c>
      <c r="C11" s="82">
        <v>1</v>
      </c>
      <c r="D11" s="82">
        <v>2</v>
      </c>
      <c r="E11" s="83">
        <v>3</v>
      </c>
      <c r="F11" s="84" t="s">
        <v>63</v>
      </c>
    </row>
    <row r="12" spans="3:5" ht="14.25" thickBot="1" thickTop="1">
      <c r="C12" s="43">
        <f>B3</f>
        <v>1000</v>
      </c>
      <c r="D12" s="101"/>
      <c r="E12" s="101"/>
    </row>
    <row r="13" spans="4:5" ht="14.25" thickBot="1" thickTop="1">
      <c r="D13" s="43">
        <f>B3</f>
        <v>1000</v>
      </c>
      <c r="E13" s="101"/>
    </row>
    <row r="14" ht="13.5" thickTop="1">
      <c r="E14" s="43">
        <f>B3</f>
        <v>1000</v>
      </c>
    </row>
    <row r="15" spans="5:6" ht="12.75">
      <c r="E15" s="104"/>
      <c r="F15" s="105"/>
    </row>
    <row r="16" ht="12.75">
      <c r="F16" s="77"/>
    </row>
    <row r="18" ht="13.5" thickBot="1"/>
    <row r="19" spans="2:6" ht="14.25" thickBot="1" thickTop="1">
      <c r="B19" s="81">
        <v>0</v>
      </c>
      <c r="C19" s="85">
        <v>1</v>
      </c>
      <c r="D19" s="85">
        <v>2</v>
      </c>
      <c r="E19" s="86">
        <v>3</v>
      </c>
      <c r="F19" s="84" t="s">
        <v>67</v>
      </c>
    </row>
    <row r="20" spans="2:5" ht="14.25" thickBot="1" thickTop="1">
      <c r="B20" s="43">
        <f>B3</f>
        <v>1000</v>
      </c>
      <c r="C20" s="101"/>
      <c r="D20" s="101"/>
      <c r="E20" s="101"/>
    </row>
    <row r="21" spans="3:5" ht="14.25" thickBot="1" thickTop="1">
      <c r="C21" s="43">
        <f>B3</f>
        <v>1000</v>
      </c>
      <c r="D21" s="101"/>
      <c r="E21" s="101"/>
    </row>
    <row r="22" spans="4:5" ht="14.25" thickBot="1" thickTop="1">
      <c r="D22" s="43">
        <f>B3</f>
        <v>1000</v>
      </c>
      <c r="E22" s="101"/>
    </row>
    <row r="23" spans="5:6" ht="14.25" thickBot="1" thickTop="1">
      <c r="E23" s="106"/>
      <c r="F23" s="107"/>
    </row>
    <row r="24" ht="13.5" thickTop="1"/>
    <row r="26" ht="13.5" thickBot="1"/>
    <row r="27" spans="2:6" ht="14.25" thickBot="1" thickTop="1">
      <c r="B27" s="81">
        <v>0</v>
      </c>
      <c r="C27" s="82">
        <v>1</v>
      </c>
      <c r="D27" s="82">
        <v>2</v>
      </c>
      <c r="E27" s="83">
        <v>3</v>
      </c>
      <c r="F27" s="84" t="s">
        <v>61</v>
      </c>
    </row>
    <row r="28" spans="2:5" ht="14.25" thickBot="1" thickTop="1">
      <c r="B28" s="108"/>
      <c r="C28" s="108"/>
      <c r="D28" s="108"/>
      <c r="E28" s="43">
        <v>1000</v>
      </c>
    </row>
    <row r="29" spans="2:4" ht="14.25" thickBot="1" thickTop="1">
      <c r="B29" s="108"/>
      <c r="C29" s="108"/>
      <c r="D29" s="90">
        <f>B3</f>
        <v>1000</v>
      </c>
    </row>
    <row r="30" spans="2:4" ht="14.25" thickBot="1" thickTop="1">
      <c r="B30" s="108"/>
      <c r="C30" s="90">
        <f>B3</f>
        <v>1000</v>
      </c>
      <c r="D30" s="36"/>
    </row>
    <row r="31" spans="2:6" ht="14.25" thickBot="1" thickTop="1">
      <c r="B31" s="110"/>
      <c r="C31" s="36"/>
      <c r="D31" s="36"/>
      <c r="F31" s="111"/>
    </row>
    <row r="32" ht="13.5" thickTop="1"/>
    <row r="33" ht="13.5" thickBot="1"/>
    <row r="34" spans="2:6" ht="14.25" thickBot="1" thickTop="1">
      <c r="B34" s="81">
        <v>0</v>
      </c>
      <c r="C34" s="85">
        <v>1</v>
      </c>
      <c r="D34" s="85">
        <v>2</v>
      </c>
      <c r="E34" s="86">
        <v>3</v>
      </c>
      <c r="F34" s="84" t="s">
        <v>65</v>
      </c>
    </row>
    <row r="35" spans="3:5" ht="14.25" thickBot="1" thickTop="1">
      <c r="C35" s="112"/>
      <c r="D35" s="112"/>
      <c r="E35" s="91">
        <f>B3</f>
        <v>1000</v>
      </c>
    </row>
    <row r="36" spans="3:4" ht="14.25" thickBot="1" thickTop="1">
      <c r="C36" s="112"/>
      <c r="D36" s="91">
        <f>B3</f>
        <v>1000</v>
      </c>
    </row>
    <row r="37" ht="13.5" thickTop="1">
      <c r="C37" s="91">
        <f>B3</f>
        <v>1000</v>
      </c>
    </row>
    <row r="38" spans="3:6" ht="12.75">
      <c r="C38" s="113"/>
      <c r="F38" s="111"/>
    </row>
    <row r="42" ht="13.5" thickBot="1"/>
    <row r="43" spans="2:6" ht="14.25" thickBot="1" thickTop="1">
      <c r="B43" s="81">
        <v>0</v>
      </c>
      <c r="C43" s="82">
        <v>1</v>
      </c>
      <c r="D43" s="82">
        <v>2</v>
      </c>
      <c r="E43" s="83">
        <v>3</v>
      </c>
      <c r="F43" s="84" t="s">
        <v>91</v>
      </c>
    </row>
    <row r="44" spans="2:6" ht="13.5" thickTop="1">
      <c r="B44" s="115">
        <v>2487</v>
      </c>
      <c r="C44" s="36">
        <f>B44*(1+$B$1)</f>
        <v>2735.7000000000003</v>
      </c>
      <c r="D44" s="36"/>
      <c r="E44" s="36"/>
      <c r="F44" s="114">
        <f>PMT(B1,B2,B44)</f>
        <v>-1000.0595166163145</v>
      </c>
    </row>
    <row r="45" spans="3:5" ht="12.75">
      <c r="C45" s="35">
        <v>1000</v>
      </c>
      <c r="D45" s="36"/>
      <c r="E45" s="36"/>
    </row>
    <row r="46" spans="3:5" ht="12.75">
      <c r="C46" s="36">
        <f>C44-C45</f>
        <v>1735.7000000000003</v>
      </c>
      <c r="D46" s="36">
        <f>C46*(1+$B$1)</f>
        <v>1909.2700000000004</v>
      </c>
      <c r="E46" s="36"/>
    </row>
    <row r="47" spans="3:5" ht="12.75">
      <c r="C47" s="36"/>
      <c r="D47" s="35">
        <v>1000</v>
      </c>
      <c r="E47" s="36"/>
    </row>
    <row r="48" spans="3:5" ht="12.75">
      <c r="C48" s="36"/>
      <c r="D48" s="36">
        <f>D46-D47</f>
        <v>909.2700000000004</v>
      </c>
      <c r="E48" s="36">
        <f>D48*(1+$B$1)</f>
        <v>1000.1970000000006</v>
      </c>
    </row>
    <row r="49" spans="3:5" ht="12.75">
      <c r="C49" s="36"/>
      <c r="D49" s="36"/>
      <c r="E49" s="35">
        <v>1000</v>
      </c>
    </row>
    <row r="50" spans="3:5" ht="12.75">
      <c r="C50" s="36"/>
      <c r="D50" s="36"/>
      <c r="E50" s="115">
        <f>E48-E49</f>
        <v>0.19700000000057116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6.375" style="0" bestFit="1" customWidth="1"/>
    <col min="2" max="2" width="17.00390625" style="0" bestFit="1" customWidth="1"/>
    <col min="5" max="5" width="16.25390625" style="0" bestFit="1" customWidth="1"/>
    <col min="6" max="6" width="17.00390625" style="0" bestFit="1" customWidth="1"/>
  </cols>
  <sheetData>
    <row r="1" spans="1:5" ht="12.75">
      <c r="A1" s="37" t="s">
        <v>43</v>
      </c>
      <c r="E1" s="37" t="s">
        <v>43</v>
      </c>
    </row>
    <row r="2" spans="1:6" ht="12.75">
      <c r="A2" s="40" t="s">
        <v>44</v>
      </c>
      <c r="B2" s="40">
        <v>800000</v>
      </c>
      <c r="E2" s="40" t="s">
        <v>44</v>
      </c>
      <c r="F2" s="40">
        <v>800000</v>
      </c>
    </row>
    <row r="3" spans="1:6" ht="12.75">
      <c r="A3" s="40" t="s">
        <v>45</v>
      </c>
      <c r="B3" s="40">
        <v>0.08</v>
      </c>
      <c r="E3" s="40" t="s">
        <v>45</v>
      </c>
      <c r="F3" s="40">
        <v>0.06</v>
      </c>
    </row>
    <row r="4" spans="1:6" ht="12.75">
      <c r="A4" s="40" t="s">
        <v>46</v>
      </c>
      <c r="B4" s="40">
        <v>4</v>
      </c>
      <c r="E4" s="40" t="s">
        <v>46</v>
      </c>
      <c r="F4" s="40">
        <v>4</v>
      </c>
    </row>
    <row r="5" spans="1:6" ht="12.75">
      <c r="A5" s="41" t="s">
        <v>47</v>
      </c>
      <c r="B5" s="42">
        <f>FV(B3,B4,,-B2)</f>
        <v>1088391.1680000003</v>
      </c>
      <c r="E5" s="41" t="s">
        <v>47</v>
      </c>
      <c r="F5" s="42">
        <f>FV(F3,F4,,-F2)</f>
        <v>1009981.5680000002</v>
      </c>
    </row>
    <row r="8" spans="1:5" ht="12.75">
      <c r="A8" s="37" t="s">
        <v>48</v>
      </c>
      <c r="E8" s="37" t="s">
        <v>48</v>
      </c>
    </row>
    <row r="9" spans="1:6" ht="12.75">
      <c r="A9" s="40" t="s">
        <v>44</v>
      </c>
      <c r="B9" s="40">
        <v>100000</v>
      </c>
      <c r="E9" s="40" t="s">
        <v>44</v>
      </c>
      <c r="F9" s="40">
        <v>3000000</v>
      </c>
    </row>
    <row r="10" spans="1:6" ht="12.75">
      <c r="A10" s="40" t="s">
        <v>45</v>
      </c>
      <c r="B10" s="40">
        <v>0.07</v>
      </c>
      <c r="E10" s="40" t="s">
        <v>45</v>
      </c>
      <c r="F10" s="40">
        <v>0.07</v>
      </c>
    </row>
    <row r="11" spans="1:6" ht="12.75">
      <c r="A11" s="40" t="s">
        <v>46</v>
      </c>
      <c r="B11" s="40">
        <v>12</v>
      </c>
      <c r="E11" s="40" t="s">
        <v>46</v>
      </c>
      <c r="F11" s="40">
        <v>12</v>
      </c>
    </row>
    <row r="12" spans="1:6" ht="12.75">
      <c r="A12" s="41" t="s">
        <v>47</v>
      </c>
      <c r="B12" s="42">
        <f>FV(B10/12,B11,,-B9)</f>
        <v>107229.00808562359</v>
      </c>
      <c r="E12" s="41" t="s">
        <v>47</v>
      </c>
      <c r="F12" s="42">
        <f>FV(F10/12,F11,,-F9)</f>
        <v>3216870.2425687076</v>
      </c>
    </row>
    <row r="15" spans="1:5" ht="12.75">
      <c r="A15" s="37" t="s">
        <v>49</v>
      </c>
      <c r="E15" s="37" t="s">
        <v>49</v>
      </c>
    </row>
    <row r="16" spans="1:6" ht="12.75">
      <c r="A16" s="40" t="s">
        <v>44</v>
      </c>
      <c r="B16" s="40">
        <v>4000000</v>
      </c>
      <c r="E16" s="40" t="s">
        <v>44</v>
      </c>
      <c r="F16" s="40">
        <v>1000000</v>
      </c>
    </row>
    <row r="17" spans="1:6" ht="12.75">
      <c r="A17" s="40" t="s">
        <v>45</v>
      </c>
      <c r="B17" s="40">
        <v>0.1</v>
      </c>
      <c r="E17" s="40" t="s">
        <v>45</v>
      </c>
      <c r="F17" s="40">
        <v>0.06</v>
      </c>
    </row>
    <row r="18" spans="1:6" ht="12.75">
      <c r="A18" s="40" t="s">
        <v>46</v>
      </c>
      <c r="B18" s="40">
        <f>3*2</f>
        <v>6</v>
      </c>
      <c r="E18" s="40" t="s">
        <v>46</v>
      </c>
      <c r="F18" s="40">
        <v>10</v>
      </c>
    </row>
    <row r="19" spans="1:6" ht="12.75">
      <c r="A19" s="41" t="s">
        <v>39</v>
      </c>
      <c r="B19" s="42">
        <f>PV(B17/2,B18,,-B16)</f>
        <v>2984861.5865465105</v>
      </c>
      <c r="E19" s="41" t="s">
        <v>39</v>
      </c>
      <c r="F19" s="42">
        <f>PV(F17,F18,,-F16)</f>
        <v>558394.7769151179</v>
      </c>
    </row>
    <row r="23" ht="12.75">
      <c r="A23" t="s">
        <v>59</v>
      </c>
    </row>
    <row r="24" ht="12.75">
      <c r="A24" t="s">
        <v>60</v>
      </c>
    </row>
    <row r="25" spans="1:2" ht="12.75">
      <c r="A25">
        <v>0.09</v>
      </c>
      <c r="B25" t="s">
        <v>61</v>
      </c>
    </row>
    <row r="26" spans="1:2" ht="12.75">
      <c r="A26">
        <v>500000</v>
      </c>
      <c r="B26" s="77">
        <f>PV(A25,A27,A26)</f>
        <v>-1944825.6316758597</v>
      </c>
    </row>
    <row r="27" ht="12.75">
      <c r="A27">
        <v>5</v>
      </c>
    </row>
    <row r="28" ht="12.75">
      <c r="A28" t="s">
        <v>62</v>
      </c>
    </row>
    <row r="29" ht="12.75">
      <c r="A29" t="s">
        <v>94</v>
      </c>
    </row>
    <row r="30" spans="1:2" ht="12.75">
      <c r="A30">
        <v>0.05</v>
      </c>
      <c r="B30" t="s">
        <v>63</v>
      </c>
    </row>
    <row r="31" spans="1:2" ht="12.75">
      <c r="A31">
        <v>100000</v>
      </c>
      <c r="B31" s="77">
        <f>FV(A30,A32,A31)</f>
        <v>-431012.5</v>
      </c>
    </row>
    <row r="32" ht="12.75">
      <c r="A32">
        <v>4</v>
      </c>
    </row>
    <row r="33" ht="12.75">
      <c r="A33" t="s">
        <v>64</v>
      </c>
    </row>
    <row r="34" spans="1:2" ht="12.75">
      <c r="A34">
        <v>0.06</v>
      </c>
      <c r="B34" t="s">
        <v>65</v>
      </c>
    </row>
    <row r="35" spans="1:2" ht="12.75">
      <c r="A35">
        <v>1000000</v>
      </c>
      <c r="B35" s="77">
        <f>PV(A34,A36,A35,,1)</f>
        <v>-5917324.326005397</v>
      </c>
    </row>
    <row r="36" ht="12.75">
      <c r="A36">
        <v>7</v>
      </c>
    </row>
    <row r="37" ht="12.75">
      <c r="A37" t="s">
        <v>66</v>
      </c>
    </row>
    <row r="38" ht="12.75">
      <c r="A38" t="s">
        <v>93</v>
      </c>
    </row>
    <row r="39" spans="1:2" ht="12.75">
      <c r="A39">
        <v>0.06</v>
      </c>
      <c r="B39" t="s">
        <v>67</v>
      </c>
    </row>
    <row r="40" spans="1:2" ht="12.75">
      <c r="A40">
        <v>1000000</v>
      </c>
      <c r="B40" s="77">
        <f>FV(A39,A41,A40,,1)</f>
        <v>-13971642.638923764</v>
      </c>
    </row>
    <row r="41" ht="12.75">
      <c r="A41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75390625" style="4" customWidth="1"/>
    <col min="2" max="2" width="12.25390625" style="4" customWidth="1"/>
    <col min="3" max="4" width="12.00390625" style="4" customWidth="1"/>
    <col min="5" max="5" width="13.625" style="4" customWidth="1"/>
    <col min="6" max="6" width="13.375" style="4" customWidth="1"/>
    <col min="7" max="7" width="13.00390625" style="4" customWidth="1"/>
    <col min="8" max="16384" width="9.125" style="4" customWidth="1"/>
  </cols>
  <sheetData>
    <row r="1" ht="15">
      <c r="A1" s="64" t="s">
        <v>10</v>
      </c>
    </row>
    <row r="2" spans="1:5" ht="15.75">
      <c r="A2" s="63" t="s">
        <v>56</v>
      </c>
      <c r="B2" s="55"/>
      <c r="C2" s="55"/>
      <c r="D2" s="55"/>
      <c r="E2" s="55"/>
    </row>
    <row r="3" spans="1:4" ht="15.75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6" ht="12">
      <c r="A4" s="5"/>
      <c r="B4" s="7">
        <v>1000</v>
      </c>
      <c r="C4" s="8">
        <v>0.1</v>
      </c>
      <c r="D4" s="7">
        <v>6</v>
      </c>
      <c r="E4" s="9"/>
      <c r="F4" s="9"/>
    </row>
    <row r="5" spans="1:6" ht="15.75" customHeight="1">
      <c r="A5" s="10" t="s">
        <v>11</v>
      </c>
      <c r="B5" s="45" t="s">
        <v>5</v>
      </c>
      <c r="C5" s="46" t="s">
        <v>6</v>
      </c>
      <c r="D5" s="11" t="s">
        <v>50</v>
      </c>
      <c r="E5" s="45" t="s">
        <v>7</v>
      </c>
      <c r="F5" s="11" t="s">
        <v>51</v>
      </c>
    </row>
    <row r="6" spans="1:6" ht="12">
      <c r="A6" s="6">
        <v>0</v>
      </c>
      <c r="B6" s="12">
        <v>-1000</v>
      </c>
      <c r="C6" s="47">
        <f>1/(1+$C$4)^A6</f>
        <v>1</v>
      </c>
      <c r="D6" s="6">
        <f aca="true" t="shared" si="0" ref="D6:D12">ROUND(C6*B6,0)</f>
        <v>-1000</v>
      </c>
      <c r="E6" s="6">
        <v>-1000</v>
      </c>
      <c r="F6" s="6">
        <f>ROUND(E6*C6,0)</f>
        <v>-1000</v>
      </c>
    </row>
    <row r="7" spans="1:6" ht="12">
      <c r="A7" s="6">
        <v>1</v>
      </c>
      <c r="B7" s="6">
        <v>500</v>
      </c>
      <c r="C7" s="48">
        <f aca="true" t="shared" si="1" ref="C7:C12">1/(1+$C$4)^A7</f>
        <v>0.9090909090909091</v>
      </c>
      <c r="D7" s="6">
        <f t="shared" si="0"/>
        <v>455</v>
      </c>
      <c r="E7" s="6">
        <v>100</v>
      </c>
      <c r="F7" s="6">
        <f aca="true" t="shared" si="2" ref="F7:F12">ROUND(E7*C7,0)</f>
        <v>91</v>
      </c>
    </row>
    <row r="8" spans="1:6" ht="12">
      <c r="A8" s="6">
        <v>2</v>
      </c>
      <c r="B8" s="6">
        <v>400</v>
      </c>
      <c r="C8" s="48">
        <f t="shared" si="1"/>
        <v>0.8264462809917354</v>
      </c>
      <c r="D8" s="6">
        <f t="shared" si="0"/>
        <v>331</v>
      </c>
      <c r="E8" s="6">
        <v>200</v>
      </c>
      <c r="F8" s="6">
        <f t="shared" si="2"/>
        <v>165</v>
      </c>
    </row>
    <row r="9" spans="1:6" ht="12">
      <c r="A9" s="6">
        <v>3</v>
      </c>
      <c r="B9" s="6">
        <v>300</v>
      </c>
      <c r="C9" s="48">
        <f t="shared" si="1"/>
        <v>0.7513148009015775</v>
      </c>
      <c r="D9" s="6">
        <f t="shared" si="0"/>
        <v>225</v>
      </c>
      <c r="E9" s="6">
        <v>300</v>
      </c>
      <c r="F9" s="6">
        <f t="shared" si="2"/>
        <v>225</v>
      </c>
    </row>
    <row r="10" spans="1:6" ht="12">
      <c r="A10" s="6">
        <v>4</v>
      </c>
      <c r="B10" s="6">
        <v>100</v>
      </c>
      <c r="C10" s="48">
        <f t="shared" si="1"/>
        <v>0.6830134553650705</v>
      </c>
      <c r="D10" s="6">
        <f t="shared" si="0"/>
        <v>68</v>
      </c>
      <c r="E10" s="6">
        <v>400</v>
      </c>
      <c r="F10" s="6">
        <f t="shared" si="2"/>
        <v>273</v>
      </c>
    </row>
    <row r="11" spans="1:6" ht="12">
      <c r="A11" s="6">
        <v>5</v>
      </c>
      <c r="B11" s="6">
        <v>10</v>
      </c>
      <c r="C11" s="48">
        <f t="shared" si="1"/>
        <v>0.6209213230591549</v>
      </c>
      <c r="D11" s="6">
        <f t="shared" si="0"/>
        <v>6</v>
      </c>
      <c r="E11" s="6">
        <v>500</v>
      </c>
      <c r="F11" s="6">
        <f t="shared" si="2"/>
        <v>310</v>
      </c>
    </row>
    <row r="12" spans="1:6" ht="12">
      <c r="A12" s="6">
        <v>6</v>
      </c>
      <c r="B12" s="6">
        <v>10</v>
      </c>
      <c r="C12" s="48">
        <f t="shared" si="1"/>
        <v>0.5644739300537772</v>
      </c>
      <c r="D12" s="6">
        <f t="shared" si="0"/>
        <v>6</v>
      </c>
      <c r="E12" s="6">
        <v>600</v>
      </c>
      <c r="F12" s="6">
        <f t="shared" si="2"/>
        <v>339</v>
      </c>
    </row>
    <row r="13" spans="1:6" ht="12">
      <c r="A13" s="6" t="s">
        <v>52</v>
      </c>
      <c r="B13" s="7"/>
      <c r="C13" s="7"/>
      <c r="D13" s="49">
        <f>SUM(D7:D12)</f>
        <v>1091</v>
      </c>
      <c r="E13" s="12"/>
      <c r="F13" s="49">
        <f>SUM(F7:F12)</f>
        <v>1403</v>
      </c>
    </row>
    <row r="14" spans="1:6" ht="14.25" customHeight="1">
      <c r="A14" s="13" t="s">
        <v>13</v>
      </c>
      <c r="D14" s="50">
        <v>1000</v>
      </c>
      <c r="E14" s="7"/>
      <c r="F14" s="50">
        <v>1000</v>
      </c>
    </row>
    <row r="15" spans="1:9" ht="12">
      <c r="A15" s="14" t="s">
        <v>53</v>
      </c>
      <c r="D15" s="51">
        <f>D13-D14</f>
        <v>91</v>
      </c>
      <c r="E15" s="7"/>
      <c r="F15" s="51">
        <f>F13-F14</f>
        <v>403</v>
      </c>
      <c r="I15" s="5"/>
    </row>
    <row r="16" spans="1:9" ht="12">
      <c r="A16" s="14"/>
      <c r="D16" s="15"/>
      <c r="E16" s="7"/>
      <c r="F16" s="15"/>
      <c r="I16" s="5"/>
    </row>
    <row r="17" spans="1:6" ht="12">
      <c r="A17" s="54" t="s">
        <v>54</v>
      </c>
      <c r="B17" s="52"/>
      <c r="D17" s="53">
        <f>NPV($C$4,$B$7:$B$12)-B4</f>
        <v>90.67370528025822</v>
      </c>
      <c r="E17" s="7"/>
      <c r="F17" s="53">
        <f>NPV($C$4,$E$7:$E$12)-B4</f>
        <v>403.94318908578316</v>
      </c>
    </row>
    <row r="18" spans="4:6" ht="12">
      <c r="D18" s="2" t="s">
        <v>15</v>
      </c>
      <c r="E18" s="7"/>
      <c r="F18" s="25" t="s">
        <v>16</v>
      </c>
    </row>
    <row r="19" spans="4:6" ht="12">
      <c r="D19" s="2"/>
      <c r="E19" s="7"/>
      <c r="F19" s="2"/>
    </row>
    <row r="20" spans="1:6" ht="15">
      <c r="A20" s="65" t="s">
        <v>57</v>
      </c>
      <c r="B20" s="55"/>
      <c r="C20" s="55"/>
      <c r="D20" s="2"/>
      <c r="E20" s="7"/>
      <c r="F20" s="2"/>
    </row>
    <row r="21" spans="1:6" ht="12">
      <c r="A21" s="4" t="s">
        <v>8</v>
      </c>
      <c r="D21" s="121">
        <f>IRR(B6:B12,0.1)</f>
        <v>0.15058141845480955</v>
      </c>
      <c r="E21" s="7"/>
      <c r="F21" s="122">
        <f>IRR(E6:E12,0.1)</f>
        <v>0.19710389330225198</v>
      </c>
    </row>
    <row r="22" spans="4:6" ht="12">
      <c r="D22" s="17" t="s">
        <v>115</v>
      </c>
      <c r="E22" s="7"/>
      <c r="F22" s="18" t="s">
        <v>116</v>
      </c>
    </row>
    <row r="23" spans="4:6" ht="12">
      <c r="D23" s="17"/>
      <c r="E23" s="7"/>
      <c r="F23" s="18"/>
    </row>
    <row r="24" ht="12">
      <c r="A24" s="3" t="s">
        <v>9</v>
      </c>
    </row>
    <row r="25" spans="1:4" ht="12">
      <c r="A25" s="5" t="s">
        <v>0</v>
      </c>
      <c r="B25" s="19" t="s">
        <v>1</v>
      </c>
      <c r="C25" s="19" t="s">
        <v>2</v>
      </c>
      <c r="D25" s="19" t="s">
        <v>3</v>
      </c>
    </row>
    <row r="26" spans="1:6" ht="12">
      <c r="A26" s="5"/>
      <c r="B26" s="4">
        <v>1000</v>
      </c>
      <c r="C26" s="58">
        <f>D42</f>
        <v>0.15058141845480955</v>
      </c>
      <c r="D26" s="4">
        <v>6</v>
      </c>
      <c r="E26" s="9"/>
      <c r="F26" s="59">
        <f>$F$21</f>
        <v>0.19710389330225198</v>
      </c>
    </row>
    <row r="27" spans="1:7" ht="12">
      <c r="A27" s="10" t="s">
        <v>4</v>
      </c>
      <c r="B27" s="45" t="s">
        <v>5</v>
      </c>
      <c r="C27" s="11" t="s">
        <v>17</v>
      </c>
      <c r="D27" s="11" t="s">
        <v>50</v>
      </c>
      <c r="E27" s="45" t="s">
        <v>7</v>
      </c>
      <c r="F27" s="11" t="s">
        <v>18</v>
      </c>
      <c r="G27" s="11" t="s">
        <v>51</v>
      </c>
    </row>
    <row r="28" spans="1:7" ht="12">
      <c r="A28" s="6">
        <v>0</v>
      </c>
      <c r="B28" s="12">
        <v>-1000</v>
      </c>
      <c r="C28" s="7">
        <f>1/(1+$C$26)^A28</f>
        <v>1</v>
      </c>
      <c r="D28" s="6">
        <f aca="true" t="shared" si="3" ref="D28:D34">ROUND(C28*B28,0)</f>
        <v>-1000</v>
      </c>
      <c r="E28" s="6">
        <v>-1000</v>
      </c>
      <c r="F28" s="7">
        <f>1/(1+$F$26)^A28</f>
        <v>1</v>
      </c>
      <c r="G28" s="6">
        <f>ROUND(E28*F28,0)</f>
        <v>-1000</v>
      </c>
    </row>
    <row r="29" spans="1:7" ht="12">
      <c r="A29" s="6">
        <v>1</v>
      </c>
      <c r="B29" s="6">
        <v>500</v>
      </c>
      <c r="C29" s="7">
        <f aca="true" t="shared" si="4" ref="C29:C34">1/(1+$C$26)^A29</f>
        <v>0.8691258036679967</v>
      </c>
      <c r="D29" s="6">
        <f t="shared" si="3"/>
        <v>435</v>
      </c>
      <c r="E29" s="6">
        <v>100</v>
      </c>
      <c r="F29" s="7">
        <f aca="true" t="shared" si="5" ref="F29:F34">1/(1+$F$26)^A29</f>
        <v>0.8353493841219294</v>
      </c>
      <c r="G29" s="6">
        <f aca="true" t="shared" si="6" ref="G29:G34">ROUND(E29*F29,0)</f>
        <v>84</v>
      </c>
    </row>
    <row r="30" spans="1:7" ht="12">
      <c r="A30" s="6">
        <v>2</v>
      </c>
      <c r="B30" s="6">
        <v>400</v>
      </c>
      <c r="C30" s="7">
        <f t="shared" si="4"/>
        <v>0.7553796626015412</v>
      </c>
      <c r="D30" s="6">
        <f t="shared" si="3"/>
        <v>302</v>
      </c>
      <c r="E30" s="6">
        <v>200</v>
      </c>
      <c r="F30" s="7">
        <f t="shared" si="5"/>
        <v>0.6978085935528866</v>
      </c>
      <c r="G30" s="6">
        <f t="shared" si="6"/>
        <v>140</v>
      </c>
    </row>
    <row r="31" spans="1:7" ht="12">
      <c r="A31" s="6">
        <v>3</v>
      </c>
      <c r="B31" s="6">
        <v>300</v>
      </c>
      <c r="C31" s="7">
        <f t="shared" si="4"/>
        <v>0.6565199563330247</v>
      </c>
      <c r="D31" s="6">
        <f t="shared" si="3"/>
        <v>197</v>
      </c>
      <c r="E31" s="6">
        <v>300</v>
      </c>
      <c r="F31" s="7">
        <f t="shared" si="5"/>
        <v>0.5829139788593936</v>
      </c>
      <c r="G31" s="6">
        <f t="shared" si="6"/>
        <v>175</v>
      </c>
    </row>
    <row r="32" spans="1:7" ht="12">
      <c r="A32" s="6">
        <v>4</v>
      </c>
      <c r="B32" s="6">
        <v>100</v>
      </c>
      <c r="C32" s="7">
        <f t="shared" si="4"/>
        <v>0.5705984346720182</v>
      </c>
      <c r="D32" s="6">
        <f t="shared" si="3"/>
        <v>57</v>
      </c>
      <c r="E32" s="6">
        <v>400</v>
      </c>
      <c r="F32" s="7">
        <f t="shared" si="5"/>
        <v>0.48693683323625775</v>
      </c>
      <c r="G32" s="6">
        <f t="shared" si="6"/>
        <v>195</v>
      </c>
    </row>
    <row r="33" spans="1:7" ht="12">
      <c r="A33" s="6">
        <v>5</v>
      </c>
      <c r="B33" s="6">
        <v>10</v>
      </c>
      <c r="C33" s="7">
        <f t="shared" si="4"/>
        <v>0.49592182310601873</v>
      </c>
      <c r="D33" s="6">
        <f t="shared" si="3"/>
        <v>5</v>
      </c>
      <c r="E33" s="6">
        <v>500</v>
      </c>
      <c r="F33" s="7">
        <f t="shared" si="5"/>
        <v>0.4067623837501905</v>
      </c>
      <c r="G33" s="6">
        <f t="shared" si="6"/>
        <v>203</v>
      </c>
    </row>
    <row r="34" spans="1:7" ht="12">
      <c r="A34" s="6">
        <v>6</v>
      </c>
      <c r="B34" s="6">
        <v>10</v>
      </c>
      <c r="C34" s="7">
        <f t="shared" si="4"/>
        <v>0.43101845306351666</v>
      </c>
      <c r="D34" s="6">
        <f t="shared" si="3"/>
        <v>4</v>
      </c>
      <c r="E34" s="6">
        <v>600</v>
      </c>
      <c r="F34" s="7">
        <f t="shared" si="5"/>
        <v>0.33978870674968953</v>
      </c>
      <c r="G34" s="6">
        <f t="shared" si="6"/>
        <v>204</v>
      </c>
    </row>
    <row r="35" spans="1:7" ht="12">
      <c r="A35" s="6" t="s">
        <v>12</v>
      </c>
      <c r="B35" s="7"/>
      <c r="C35" s="7"/>
      <c r="D35" s="49">
        <f>SUM(D29:D34)</f>
        <v>1000</v>
      </c>
      <c r="E35" s="12"/>
      <c r="G35" s="49">
        <f>SUM(G29:G34)</f>
        <v>1001</v>
      </c>
    </row>
    <row r="36" spans="1:7" ht="12">
      <c r="A36" s="13" t="s">
        <v>13</v>
      </c>
      <c r="D36" s="50">
        <v>1000</v>
      </c>
      <c r="E36" s="7"/>
      <c r="G36" s="50">
        <v>1000</v>
      </c>
    </row>
    <row r="37" spans="1:7" ht="12">
      <c r="A37" s="14" t="s">
        <v>14</v>
      </c>
      <c r="D37" s="51">
        <f>D35-D36</f>
        <v>0</v>
      </c>
      <c r="E37" s="7"/>
      <c r="F37" s="7"/>
      <c r="G37" s="51">
        <f>G35-G36</f>
        <v>1</v>
      </c>
    </row>
    <row r="38" spans="1:7" ht="12">
      <c r="A38" s="14"/>
      <c r="D38" s="60"/>
      <c r="E38" s="7"/>
      <c r="F38" s="7"/>
      <c r="G38" s="60"/>
    </row>
    <row r="39" spans="1:7" ht="12">
      <c r="A39" s="54" t="s">
        <v>54</v>
      </c>
      <c r="B39" s="52"/>
      <c r="D39" s="53">
        <f>NPV($C$26,$B$7:$B$12)-B26</f>
        <v>3.419472704990767E-09</v>
      </c>
      <c r="E39" s="7"/>
      <c r="F39" s="7"/>
      <c r="G39" s="53">
        <f>NPV($F$26,$E$7:$E$12)-B26</f>
        <v>0</v>
      </c>
    </row>
    <row r="40" spans="4:6" ht="12">
      <c r="D40" s="25" t="s">
        <v>117</v>
      </c>
      <c r="F40" s="25" t="s">
        <v>118</v>
      </c>
    </row>
    <row r="41" spans="4:7" ht="12">
      <c r="D41" s="20"/>
      <c r="G41" s="20"/>
    </row>
    <row r="42" spans="1:7" ht="12">
      <c r="A42" s="61" t="s">
        <v>55</v>
      </c>
      <c r="B42" s="61"/>
      <c r="D42" s="56">
        <f>IRR(B28:B34,0.1)</f>
        <v>0.15058141845480955</v>
      </c>
      <c r="E42" s="7"/>
      <c r="F42" s="57">
        <f>IRR(E28:E34,0.1)</f>
        <v>0.19710389330225198</v>
      </c>
      <c r="G42" s="62"/>
    </row>
    <row r="44" spans="1:6" ht="15.75">
      <c r="A44" s="66" t="s">
        <v>58</v>
      </c>
      <c r="B44" s="67"/>
      <c r="C44" s="68"/>
      <c r="D44" s="19"/>
      <c r="E44" s="19"/>
      <c r="F44" s="19"/>
    </row>
    <row r="45" spans="1:6" ht="12">
      <c r="A45" s="10" t="s">
        <v>4</v>
      </c>
      <c r="B45" s="10" t="s">
        <v>5</v>
      </c>
      <c r="C45" s="10" t="s">
        <v>7</v>
      </c>
      <c r="D45" s="11"/>
      <c r="F45" s="19"/>
    </row>
    <row r="46" spans="1:6" ht="12">
      <c r="A46" s="6">
        <v>0</v>
      </c>
      <c r="B46" s="72">
        <v>-1000</v>
      </c>
      <c r="C46" s="71">
        <v>-1000</v>
      </c>
      <c r="D46" s="6"/>
      <c r="F46" s="21"/>
    </row>
    <row r="47" spans="1:6" ht="12">
      <c r="A47" s="6">
        <v>1</v>
      </c>
      <c r="B47" s="69">
        <v>500</v>
      </c>
      <c r="C47" s="69">
        <v>100</v>
      </c>
      <c r="D47" s="6"/>
      <c r="F47" s="22"/>
    </row>
    <row r="48" spans="1:4" ht="12">
      <c r="A48" s="6">
        <v>2</v>
      </c>
      <c r="B48" s="69">
        <v>400</v>
      </c>
      <c r="C48" s="69">
        <v>200</v>
      </c>
      <c r="D48" s="6"/>
    </row>
    <row r="49" spans="1:6" ht="12">
      <c r="A49" s="6">
        <v>3</v>
      </c>
      <c r="B49" s="70">
        <v>300</v>
      </c>
      <c r="C49" s="69">
        <v>300</v>
      </c>
      <c r="D49" s="6"/>
      <c r="F49" s="23"/>
    </row>
    <row r="50" spans="1:6" ht="12">
      <c r="A50" s="6">
        <v>4</v>
      </c>
      <c r="B50" s="71">
        <v>100</v>
      </c>
      <c r="C50" s="69">
        <v>400</v>
      </c>
      <c r="D50" s="6"/>
      <c r="F50" s="23"/>
    </row>
    <row r="51" spans="1:6" ht="12">
      <c r="A51" s="6">
        <v>5</v>
      </c>
      <c r="B51" s="71">
        <v>10</v>
      </c>
      <c r="C51" s="71">
        <v>500</v>
      </c>
      <c r="D51" s="6"/>
      <c r="F51" s="24"/>
    </row>
    <row r="52" spans="1:4" ht="12">
      <c r="A52" s="6">
        <v>6</v>
      </c>
      <c r="B52" s="71">
        <v>10</v>
      </c>
      <c r="C52" s="71">
        <v>600</v>
      </c>
      <c r="D52" s="6"/>
    </row>
    <row r="55" spans="1:3" ht="12">
      <c r="A55" s="73" t="s">
        <v>20</v>
      </c>
      <c r="B55" s="74" t="s">
        <v>21</v>
      </c>
      <c r="C55" s="75" t="s">
        <v>22</v>
      </c>
    </row>
    <row r="56" ht="12">
      <c r="B56" s="76" t="s">
        <v>19</v>
      </c>
    </row>
  </sheetData>
  <sheetProtection/>
  <printOptions gridLines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9.125" style="28" customWidth="1"/>
    <col min="2" max="2" width="14.125" style="28" customWidth="1"/>
    <col min="3" max="3" width="16.625" style="28" customWidth="1"/>
    <col min="4" max="4" width="11.625" style="28" customWidth="1"/>
    <col min="5" max="5" width="14.125" style="28" customWidth="1"/>
    <col min="6" max="6" width="15.375" style="28" customWidth="1"/>
    <col min="7" max="16384" width="9.125" style="28" customWidth="1"/>
  </cols>
  <sheetData>
    <row r="1" spans="1:5" ht="12.75">
      <c r="A1" s="130" t="s">
        <v>32</v>
      </c>
      <c r="B1" s="131"/>
      <c r="C1" s="131"/>
      <c r="D1" s="131"/>
      <c r="E1" s="131"/>
    </row>
    <row r="2" spans="1:5" ht="12.75">
      <c r="A2" s="130" t="s">
        <v>33</v>
      </c>
      <c r="B2" s="131"/>
      <c r="C2" s="131"/>
      <c r="D2" s="131"/>
      <c r="E2" s="131"/>
    </row>
    <row r="3" spans="1:4" ht="12.75">
      <c r="A3" s="28" t="s">
        <v>34</v>
      </c>
      <c r="D3" s="30">
        <v>25000</v>
      </c>
    </row>
    <row r="4" spans="1:4" ht="12.75">
      <c r="A4" s="28" t="s">
        <v>35</v>
      </c>
      <c r="D4" s="28">
        <v>5</v>
      </c>
    </row>
    <row r="5" spans="1:5" ht="12.75">
      <c r="A5" s="28" t="s">
        <v>68</v>
      </c>
      <c r="D5" s="30">
        <v>7500</v>
      </c>
      <c r="E5" s="28" t="s">
        <v>69</v>
      </c>
    </row>
    <row r="6" spans="1:5" ht="12.75">
      <c r="A6" s="28" t="s">
        <v>68</v>
      </c>
      <c r="D6" s="30">
        <v>15000</v>
      </c>
      <c r="E6" s="28" t="s">
        <v>70</v>
      </c>
    </row>
    <row r="7" spans="1:4" ht="12.75">
      <c r="A7" s="28" t="s">
        <v>36</v>
      </c>
      <c r="D7" s="31">
        <v>0.18</v>
      </c>
    </row>
    <row r="9" ht="12.75">
      <c r="A9" s="27" t="s">
        <v>37</v>
      </c>
    </row>
    <row r="10" ht="12.75">
      <c r="A10" s="32" t="s">
        <v>38</v>
      </c>
    </row>
    <row r="11" spans="1:5" ht="12.75">
      <c r="A11" s="28" t="s">
        <v>39</v>
      </c>
      <c r="C11" s="129" t="s">
        <v>141</v>
      </c>
      <c r="D11" s="197" t="s">
        <v>188</v>
      </c>
      <c r="E11" s="32"/>
    </row>
    <row r="12" spans="3:5" ht="12.75">
      <c r="C12" s="28">
        <v>1</v>
      </c>
      <c r="D12" s="78">
        <f>PV($D$7,1,,-1)</f>
        <v>0.8474576271186441</v>
      </c>
      <c r="E12" s="30">
        <f>D12*$D$5</f>
        <v>6355.932203389831</v>
      </c>
    </row>
    <row r="13" spans="3:5" ht="12.75">
      <c r="C13" s="28">
        <v>2</v>
      </c>
      <c r="D13" s="78">
        <f>PV($D$7,2,,-1)</f>
        <v>0.7181844297615628</v>
      </c>
      <c r="E13" s="30">
        <f>D13*$D$5</f>
        <v>5386.383223211721</v>
      </c>
    </row>
    <row r="14" spans="3:5" ht="12.75">
      <c r="C14" s="28">
        <v>3</v>
      </c>
      <c r="D14" s="78">
        <f>PV($D$7,3,,-1)</f>
        <v>0.6086308726792905</v>
      </c>
      <c r="E14" s="30">
        <f>D14*$D$5</f>
        <v>4564.731545094679</v>
      </c>
    </row>
    <row r="15" spans="3:5" ht="12.75">
      <c r="C15" s="28">
        <v>4</v>
      </c>
      <c r="D15" s="78">
        <f>PV($D$7,4,,-1)</f>
        <v>0.5157888751519412</v>
      </c>
      <c r="E15" s="30">
        <f>D15*$D$5</f>
        <v>3868.4165636395587</v>
      </c>
    </row>
    <row r="16" spans="3:5" ht="12.75">
      <c r="C16" s="28">
        <v>5</v>
      </c>
      <c r="D16" s="78">
        <f>PV($D$7,5,,-1)</f>
        <v>0.43710921623045873</v>
      </c>
      <c r="E16" s="30">
        <f>D16*D6</f>
        <v>6556.638243456881</v>
      </c>
    </row>
    <row r="18" spans="1:5" ht="12.75">
      <c r="A18" s="28" t="s">
        <v>40</v>
      </c>
      <c r="E18" s="30">
        <f>SUM(E12:E17)</f>
        <v>26732.10177879267</v>
      </c>
    </row>
    <row r="19" spans="1:5" ht="12.75">
      <c r="A19" s="28" t="s">
        <v>41</v>
      </c>
      <c r="E19" s="30">
        <f>-D3</f>
        <v>-25000</v>
      </c>
    </row>
    <row r="20" spans="1:5" ht="12.75">
      <c r="A20" s="28" t="s">
        <v>42</v>
      </c>
      <c r="E20" s="33">
        <f>E18+E19</f>
        <v>1732.1017787926685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41.375" style="28" customWidth="1"/>
    <col min="2" max="2" width="14.125" style="28" customWidth="1"/>
    <col min="3" max="3" width="14.75390625" style="28" customWidth="1"/>
    <col min="4" max="4" width="14.125" style="28" customWidth="1"/>
    <col min="5" max="5" width="15.375" style="28" customWidth="1"/>
    <col min="6" max="16384" width="9.125" style="28" customWidth="1"/>
  </cols>
  <sheetData>
    <row r="1" ht="12.75">
      <c r="A1" s="29" t="s">
        <v>32</v>
      </c>
    </row>
    <row r="2" ht="12.75">
      <c r="A2" s="29" t="s">
        <v>33</v>
      </c>
    </row>
    <row r="3" spans="1:4" ht="12.75">
      <c r="A3" s="29"/>
      <c r="C3" s="119" t="s">
        <v>71</v>
      </c>
      <c r="D3" s="119" t="s">
        <v>72</v>
      </c>
    </row>
    <row r="4" spans="1:4" ht="12.75">
      <c r="A4" s="28" t="s">
        <v>34</v>
      </c>
      <c r="C4" s="132">
        <v>75000</v>
      </c>
      <c r="D4" s="132">
        <v>60000</v>
      </c>
    </row>
    <row r="5" spans="1:4" ht="12.75">
      <c r="A5" s="28" t="s">
        <v>35</v>
      </c>
      <c r="C5" s="133">
        <v>10</v>
      </c>
      <c r="D5" s="132">
        <v>10</v>
      </c>
    </row>
    <row r="6" spans="1:4" ht="12.75">
      <c r="A6" s="28" t="s">
        <v>114</v>
      </c>
      <c r="C6" s="132">
        <v>40000</v>
      </c>
      <c r="D6" s="132">
        <v>44000</v>
      </c>
    </row>
    <row r="7" spans="1:4" ht="12.75">
      <c r="A7" s="28" t="s">
        <v>36</v>
      </c>
      <c r="C7" s="134">
        <v>0.18</v>
      </c>
      <c r="D7" s="134">
        <v>0.18</v>
      </c>
    </row>
    <row r="8" spans="3:4" ht="12.75">
      <c r="C8" s="133"/>
      <c r="D8" s="133"/>
    </row>
    <row r="9" spans="1:4" ht="12.75">
      <c r="A9" s="27" t="s">
        <v>37</v>
      </c>
      <c r="C9" s="133"/>
      <c r="D9" s="133"/>
    </row>
    <row r="10" spans="3:4" ht="12.75">
      <c r="C10" s="133"/>
      <c r="D10" s="133"/>
    </row>
    <row r="11" spans="1:4" ht="12.75">
      <c r="A11" s="28" t="s">
        <v>40</v>
      </c>
      <c r="C11" s="154">
        <f>PV(C7,C5,-C6)</f>
        <v>179763.4517969765</v>
      </c>
      <c r="D11" s="154">
        <f>PV(D7,D5,-D6)</f>
        <v>197739.79697667414</v>
      </c>
    </row>
    <row r="12" spans="1:4" ht="12.75">
      <c r="A12" s="28" t="s">
        <v>41</v>
      </c>
      <c r="C12" s="154">
        <f>-C4</f>
        <v>-75000</v>
      </c>
      <c r="D12" s="154">
        <f>-D4</f>
        <v>-60000</v>
      </c>
    </row>
    <row r="13" spans="1:4" ht="12.75">
      <c r="A13" s="28" t="s">
        <v>73</v>
      </c>
      <c r="C13" s="154">
        <f>C12+C11</f>
        <v>104763.4517969765</v>
      </c>
      <c r="D13" s="154">
        <f>D12+D11</f>
        <v>137739.79697667414</v>
      </c>
    </row>
    <row r="14" spans="3:4" ht="12.75">
      <c r="C14" s="133"/>
      <c r="D14" s="135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9.125" style="28" customWidth="1"/>
    <col min="2" max="2" width="14.125" style="28" customWidth="1"/>
    <col min="3" max="3" width="20.375" style="28" customWidth="1"/>
    <col min="4" max="4" width="14.75390625" style="28" customWidth="1"/>
    <col min="5" max="5" width="14.125" style="28" customWidth="1"/>
    <col min="6" max="6" width="15.375" style="28" customWidth="1"/>
    <col min="7" max="16384" width="9.125" style="28" customWidth="1"/>
  </cols>
  <sheetData>
    <row r="1" ht="12.75">
      <c r="A1" s="29" t="s">
        <v>32</v>
      </c>
    </row>
    <row r="2" ht="12.75">
      <c r="A2" s="29" t="s">
        <v>33</v>
      </c>
    </row>
    <row r="3" spans="1:5" ht="12.75">
      <c r="A3" s="29"/>
      <c r="D3" s="156" t="s">
        <v>71</v>
      </c>
      <c r="E3" s="156" t="s">
        <v>72</v>
      </c>
    </row>
    <row r="4" spans="1:5" ht="12.75">
      <c r="A4" s="28" t="s">
        <v>34</v>
      </c>
      <c r="D4" s="30">
        <v>1500</v>
      </c>
      <c r="E4" s="28">
        <v>2000</v>
      </c>
    </row>
    <row r="5" spans="1:5" ht="12.75">
      <c r="A5" s="28" t="s">
        <v>35</v>
      </c>
      <c r="D5" s="28">
        <v>3</v>
      </c>
      <c r="E5" s="28">
        <v>5</v>
      </c>
    </row>
    <row r="6" spans="1:5" ht="12.75">
      <c r="A6" s="28" t="s">
        <v>168</v>
      </c>
      <c r="D6" s="30">
        <v>400</v>
      </c>
      <c r="E6" s="28">
        <v>600</v>
      </c>
    </row>
    <row r="7" spans="1:5" ht="12.75">
      <c r="A7" s="28" t="s">
        <v>169</v>
      </c>
      <c r="D7" s="30">
        <v>700</v>
      </c>
      <c r="E7" s="28">
        <v>600</v>
      </c>
    </row>
    <row r="8" spans="1:5" ht="12.75">
      <c r="A8" s="28" t="s">
        <v>170</v>
      </c>
      <c r="D8" s="30">
        <v>1000</v>
      </c>
      <c r="E8" s="28">
        <v>600</v>
      </c>
    </row>
    <row r="9" spans="1:5" ht="12.75">
      <c r="A9" s="28" t="s">
        <v>171</v>
      </c>
      <c r="D9" s="30">
        <v>0</v>
      </c>
      <c r="E9" s="28">
        <v>600</v>
      </c>
    </row>
    <row r="10" spans="1:5" ht="12.75">
      <c r="A10" s="28" t="s">
        <v>172</v>
      </c>
      <c r="D10" s="30">
        <v>0</v>
      </c>
      <c r="E10" s="28">
        <v>600</v>
      </c>
    </row>
    <row r="11" spans="1:5" ht="12.75">
      <c r="A11" s="28" t="s">
        <v>36</v>
      </c>
      <c r="D11" s="31">
        <v>0.1</v>
      </c>
      <c r="E11" s="31">
        <v>0.1</v>
      </c>
    </row>
    <row r="12" spans="1:5" ht="12.75">
      <c r="A12" s="28" t="s">
        <v>75</v>
      </c>
      <c r="D12" s="30">
        <v>0</v>
      </c>
      <c r="E12" s="28">
        <v>0</v>
      </c>
    </row>
    <row r="13" ht="12.75">
      <c r="A13" s="27" t="s">
        <v>37</v>
      </c>
    </row>
    <row r="15" spans="1:5" ht="12.75">
      <c r="A15" s="28" t="s">
        <v>40</v>
      </c>
      <c r="D15" s="155">
        <f>NPV(D11,D6:D8)</f>
        <v>1693.4635612321558</v>
      </c>
      <c r="E15" s="155">
        <f>NPV(E11,E6:E10)</f>
        <v>2274.4720616450686</v>
      </c>
    </row>
    <row r="16" spans="1:5" ht="12.75">
      <c r="A16" s="28" t="s">
        <v>41</v>
      </c>
      <c r="D16" s="155">
        <f>-D4</f>
        <v>-1500</v>
      </c>
      <c r="E16" s="155">
        <f>-E4</f>
        <v>-2000</v>
      </c>
    </row>
    <row r="17" spans="1:5" ht="12.75">
      <c r="A17" s="28" t="s">
        <v>73</v>
      </c>
      <c r="D17" s="155">
        <f>D16+D15</f>
        <v>193.46356123215583</v>
      </c>
      <c r="E17" s="155">
        <f>E16+E15</f>
        <v>274.4720616450686</v>
      </c>
    </row>
    <row r="18" ht="12.75">
      <c r="E18" s="79" t="s">
        <v>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1.75390625" style="0" bestFit="1" customWidth="1"/>
    <col min="2" max="2" width="13.875" style="0" bestFit="1" customWidth="1"/>
    <col min="3" max="7" width="9.75390625" style="0" bestFit="1" customWidth="1"/>
  </cols>
  <sheetData>
    <row r="1" ht="12.75">
      <c r="A1" t="s">
        <v>142</v>
      </c>
    </row>
    <row r="2" ht="12.75">
      <c r="A2" t="s">
        <v>143</v>
      </c>
    </row>
    <row r="3" spans="2:7" ht="12.75">
      <c r="B3" s="16" t="s">
        <v>24</v>
      </c>
      <c r="C3" s="16" t="s">
        <v>25</v>
      </c>
      <c r="D3" s="16" t="s">
        <v>26</v>
      </c>
      <c r="E3" s="16" t="s">
        <v>27</v>
      </c>
      <c r="F3" s="16" t="s">
        <v>28</v>
      </c>
      <c r="G3" s="16" t="s">
        <v>29</v>
      </c>
    </row>
    <row r="4" spans="2:7" ht="12.75">
      <c r="B4" s="44">
        <v>5000</v>
      </c>
      <c r="C4" s="44">
        <v>5000</v>
      </c>
      <c r="D4" s="44">
        <v>5000</v>
      </c>
      <c r="E4" s="44">
        <v>5000</v>
      </c>
      <c r="F4" s="44">
        <v>5000</v>
      </c>
      <c r="G4" s="44">
        <v>5000</v>
      </c>
    </row>
    <row r="6" spans="1:2" ht="12.75">
      <c r="A6" t="s">
        <v>92</v>
      </c>
      <c r="B6" s="136">
        <v>0.12</v>
      </c>
    </row>
    <row r="8" spans="1:2" ht="12.75">
      <c r="A8" s="138" t="s">
        <v>30</v>
      </c>
      <c r="B8" s="137">
        <f>NPV(B6/12,B4:G4)</f>
        <v>28977.382372896638</v>
      </c>
    </row>
    <row r="10" spans="1:2" ht="12.75">
      <c r="A10" s="138" t="s">
        <v>31</v>
      </c>
      <c r="B10" s="137">
        <f>PV(B6/12,6,-B4)</f>
        <v>28977.382372896696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2.25390625" style="0" customWidth="1"/>
  </cols>
  <sheetData>
    <row r="2" ht="18">
      <c r="A2" s="139" t="s">
        <v>144</v>
      </c>
    </row>
    <row r="4" spans="1:3" ht="12.75">
      <c r="A4" s="160"/>
      <c r="B4" s="159" t="s">
        <v>173</v>
      </c>
      <c r="C4" s="162"/>
    </row>
    <row r="5" ht="12.75">
      <c r="B5" s="141">
        <f>IRR(B7:B15)</f>
        <v>0.23151893139730229</v>
      </c>
    </row>
    <row r="6" spans="1:2" ht="12.75">
      <c r="A6" t="s">
        <v>145</v>
      </c>
      <c r="B6" t="s">
        <v>146</v>
      </c>
    </row>
    <row r="7" spans="1:2" ht="12.75">
      <c r="A7" s="142">
        <v>31048</v>
      </c>
      <c r="B7">
        <v>-10000</v>
      </c>
    </row>
    <row r="8" spans="1:2" ht="12.75">
      <c r="A8" s="142">
        <v>31413</v>
      </c>
      <c r="B8">
        <v>3000</v>
      </c>
    </row>
    <row r="9" spans="1:2" ht="12.75">
      <c r="A9" s="142">
        <v>31778</v>
      </c>
      <c r="B9">
        <v>2500</v>
      </c>
    </row>
    <row r="10" spans="1:2" ht="12.75">
      <c r="A10" s="142">
        <v>32143</v>
      </c>
      <c r="B10">
        <v>4000</v>
      </c>
    </row>
    <row r="11" spans="1:2" ht="12.75">
      <c r="A11" s="142">
        <v>32509</v>
      </c>
      <c r="B11">
        <v>6000</v>
      </c>
    </row>
    <row r="12" spans="1:2" ht="12.75">
      <c r="A12" s="142">
        <v>32874</v>
      </c>
      <c r="B12">
        <v>30</v>
      </c>
    </row>
    <row r="13" spans="1:2" ht="12.75">
      <c r="A13" s="142">
        <v>33239</v>
      </c>
      <c r="B13">
        <v>250</v>
      </c>
    </row>
    <row r="14" spans="1:2" ht="12.75">
      <c r="A14" s="142">
        <v>33604</v>
      </c>
      <c r="B14">
        <v>1000</v>
      </c>
    </row>
    <row r="15" spans="1:2" ht="12.75">
      <c r="A15" s="142">
        <v>33970</v>
      </c>
      <c r="B15">
        <v>4500</v>
      </c>
    </row>
    <row r="16" ht="12.75">
      <c r="A16" s="142"/>
    </row>
    <row r="17" ht="12.75">
      <c r="A17" s="142"/>
    </row>
    <row r="18" ht="12.75">
      <c r="A18" s="142"/>
    </row>
    <row r="19" spans="1:6" ht="12.75">
      <c r="A19" s="140"/>
      <c r="B19" s="161" t="s">
        <v>174</v>
      </c>
      <c r="C19" s="162"/>
      <c r="D19" s="162"/>
      <c r="E19" s="162"/>
      <c r="F19" s="162"/>
    </row>
    <row r="20" spans="1:2" ht="12.75">
      <c r="A20" s="163"/>
      <c r="B20" s="143">
        <f>NPV(B5,B23,B24,B25,B26,B27,B28,B29,B30,B31)</f>
        <v>1.6708892655239273E-11</v>
      </c>
    </row>
    <row r="22" spans="1:2" ht="12.75">
      <c r="A22" t="s">
        <v>145</v>
      </c>
      <c r="B22" t="s">
        <v>146</v>
      </c>
    </row>
    <row r="23" spans="1:2" ht="12.75">
      <c r="A23" s="142">
        <v>31048</v>
      </c>
      <c r="B23">
        <v>-10000</v>
      </c>
    </row>
    <row r="24" spans="1:2" ht="12.75">
      <c r="A24" s="142">
        <v>31413</v>
      </c>
      <c r="B24">
        <v>3000</v>
      </c>
    </row>
    <row r="25" spans="1:2" ht="12.75">
      <c r="A25" s="142">
        <v>31778</v>
      </c>
      <c r="B25">
        <v>2500</v>
      </c>
    </row>
    <row r="26" spans="1:2" ht="12.75">
      <c r="A26" s="142">
        <v>32143</v>
      </c>
      <c r="B26">
        <v>4000</v>
      </c>
    </row>
    <row r="27" spans="1:2" ht="12.75">
      <c r="A27" s="142">
        <v>32509</v>
      </c>
      <c r="B27">
        <v>6000</v>
      </c>
    </row>
    <row r="28" spans="1:2" ht="12.75">
      <c r="A28" s="142">
        <v>32874</v>
      </c>
      <c r="B28">
        <v>30</v>
      </c>
    </row>
    <row r="29" spans="1:2" ht="12.75">
      <c r="A29" s="142">
        <v>33239</v>
      </c>
      <c r="B29">
        <v>250</v>
      </c>
    </row>
    <row r="30" spans="1:2" ht="12.75">
      <c r="A30" s="142">
        <v>33604</v>
      </c>
      <c r="B30">
        <v>1000</v>
      </c>
    </row>
    <row r="31" spans="1:2" ht="12.75">
      <c r="A31" s="142">
        <v>33970</v>
      </c>
      <c r="B31">
        <v>4500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11.25390625" style="39" bestFit="1" customWidth="1"/>
    <col min="2" max="2" width="12.75390625" style="39" bestFit="1" customWidth="1"/>
    <col min="3" max="3" width="8.75390625" style="39" bestFit="1" customWidth="1"/>
    <col min="4" max="16384" width="9.125" style="39" customWidth="1"/>
  </cols>
  <sheetData>
    <row r="1" ht="12.75">
      <c r="C1" s="39" t="s">
        <v>113</v>
      </c>
    </row>
    <row r="2" spans="2:5" ht="12.75">
      <c r="B2" s="96" t="s">
        <v>110</v>
      </c>
      <c r="C2" s="96" t="s">
        <v>111</v>
      </c>
      <c r="D2" s="96" t="s">
        <v>112</v>
      </c>
      <c r="E2" s="96"/>
    </row>
    <row r="3" spans="2:5" ht="12.75">
      <c r="B3" s="96">
        <v>0.7</v>
      </c>
      <c r="C3" s="96">
        <v>300</v>
      </c>
      <c r="D3" s="98"/>
      <c r="E3" s="96"/>
    </row>
    <row r="4" spans="1:5" ht="12.75">
      <c r="A4" s="39" t="s">
        <v>5</v>
      </c>
      <c r="B4" s="96">
        <v>0.2</v>
      </c>
      <c r="C4" s="96">
        <v>700</v>
      </c>
      <c r="D4" s="98"/>
      <c r="E4" s="96"/>
    </row>
    <row r="5" spans="2:5" ht="12.75">
      <c r="B5" s="96">
        <v>0.1</v>
      </c>
      <c r="C5" s="96">
        <v>600</v>
      </c>
      <c r="D5" s="98"/>
      <c r="E5" s="96"/>
    </row>
    <row r="6" spans="2:5" ht="12.75">
      <c r="B6" s="96"/>
      <c r="C6" s="96"/>
      <c r="D6" s="99"/>
      <c r="E6" s="96"/>
    </row>
    <row r="7" spans="2:5" ht="12.75">
      <c r="B7" s="96"/>
      <c r="C7" s="96"/>
      <c r="D7" s="96"/>
      <c r="E7" s="96"/>
    </row>
    <row r="8" spans="2:5" ht="12.75">
      <c r="B8" s="96">
        <v>0.6</v>
      </c>
      <c r="C8" s="96">
        <v>600</v>
      </c>
      <c r="D8" s="98"/>
      <c r="E8" s="96"/>
    </row>
    <row r="9" spans="1:5" ht="12.75">
      <c r="A9" s="39" t="s">
        <v>7</v>
      </c>
      <c r="B9" s="96">
        <v>0.2</v>
      </c>
      <c r="C9" s="96">
        <v>500</v>
      </c>
      <c r="D9" s="98"/>
      <c r="E9" s="96"/>
    </row>
    <row r="10" spans="2:5" ht="12.75">
      <c r="B10" s="96">
        <v>0.2</v>
      </c>
      <c r="C10" s="96">
        <v>400</v>
      </c>
      <c r="D10" s="98"/>
      <c r="E10" s="96"/>
    </row>
    <row r="11" spans="2:5" ht="12.75">
      <c r="B11" s="96"/>
      <c r="C11" s="96"/>
      <c r="D11" s="99"/>
      <c r="E11" s="96"/>
    </row>
    <row r="12" spans="2:5" ht="12.75">
      <c r="B12" s="96"/>
      <c r="C12" s="96"/>
      <c r="D12" s="96"/>
      <c r="E12" s="96"/>
    </row>
    <row r="13" spans="2:5" ht="12.75">
      <c r="B13" s="96">
        <v>0.3</v>
      </c>
      <c r="C13" s="96">
        <v>400</v>
      </c>
      <c r="D13" s="98"/>
      <c r="E13" s="96"/>
    </row>
    <row r="14" spans="1:5" ht="12.75">
      <c r="A14" s="39" t="s">
        <v>23</v>
      </c>
      <c r="B14" s="96">
        <v>0.3</v>
      </c>
      <c r="C14" s="96">
        <v>300</v>
      </c>
      <c r="D14" s="98"/>
      <c r="E14" s="96"/>
    </row>
    <row r="15" spans="2:5" ht="12.75">
      <c r="B15" s="96">
        <v>0.4</v>
      </c>
      <c r="C15" s="96">
        <v>600</v>
      </c>
      <c r="D15" s="98"/>
      <c r="E15" s="96"/>
    </row>
    <row r="16" spans="2:5" ht="12.75">
      <c r="B16" s="96"/>
      <c r="C16" s="96"/>
      <c r="D16" s="99"/>
      <c r="E16" s="96"/>
    </row>
    <row r="17" spans="2:5" ht="12.75">
      <c r="B17" s="96"/>
      <c r="C17" s="96"/>
      <c r="D17" s="96"/>
      <c r="E17" s="97"/>
    </row>
    <row r="18" spans="2:5" ht="12.75">
      <c r="B18" s="96"/>
      <c r="C18" s="96"/>
      <c r="D18" s="96"/>
      <c r="E18" s="96"/>
    </row>
    <row r="19" spans="2:5" ht="12.75">
      <c r="B19" s="96"/>
      <c r="C19" s="96"/>
      <c r="D19" s="96"/>
      <c r="E19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1.25390625" style="39" bestFit="1" customWidth="1"/>
    <col min="2" max="2" width="12.75390625" style="39" bestFit="1" customWidth="1"/>
    <col min="3" max="3" width="8.75390625" style="39" bestFit="1" customWidth="1"/>
    <col min="4" max="4" width="9.125" style="39" customWidth="1"/>
    <col min="5" max="5" width="12.00390625" style="39" bestFit="1" customWidth="1"/>
    <col min="6" max="16384" width="9.125" style="39" customWidth="1"/>
  </cols>
  <sheetData>
    <row r="1" ht="12.75">
      <c r="C1" s="39" t="s">
        <v>113</v>
      </c>
    </row>
    <row r="2" spans="2:5" ht="12.75">
      <c r="B2" s="96" t="s">
        <v>110</v>
      </c>
      <c r="C2" s="96" t="s">
        <v>111</v>
      </c>
      <c r="D2" s="96" t="s">
        <v>112</v>
      </c>
      <c r="E2" s="96"/>
    </row>
    <row r="3" spans="2:5" ht="12.75">
      <c r="B3" s="96">
        <v>0.7</v>
      </c>
      <c r="C3" s="96">
        <v>300</v>
      </c>
      <c r="D3" s="96">
        <f>C3*B3</f>
        <v>210</v>
      </c>
      <c r="E3" s="96"/>
    </row>
    <row r="4" spans="1:5" ht="12.75">
      <c r="A4" s="39" t="s">
        <v>5</v>
      </c>
      <c r="B4" s="96">
        <v>0.2</v>
      </c>
      <c r="C4" s="96">
        <v>700</v>
      </c>
      <c r="D4" s="96">
        <f>C4*B4</f>
        <v>140</v>
      </c>
      <c r="E4" s="96"/>
    </row>
    <row r="5" spans="2:5" ht="12.75">
      <c r="B5" s="96">
        <v>0.1</v>
      </c>
      <c r="C5" s="96">
        <v>600</v>
      </c>
      <c r="D5" s="96">
        <f>C5*B5</f>
        <v>60</v>
      </c>
      <c r="E5" s="96"/>
    </row>
    <row r="6" spans="2:5" ht="12.75">
      <c r="B6" s="96"/>
      <c r="C6" s="96"/>
      <c r="D6" s="97">
        <f>SUM(D3:D5)</f>
        <v>410</v>
      </c>
      <c r="E6" s="96"/>
    </row>
    <row r="7" spans="2:5" ht="12.75">
      <c r="B7" s="96"/>
      <c r="C7" s="96"/>
      <c r="D7" s="96"/>
      <c r="E7" s="96"/>
    </row>
    <row r="8" spans="2:5" ht="12.75">
      <c r="B8" s="96">
        <v>0.6</v>
      </c>
      <c r="C8" s="96">
        <v>600</v>
      </c>
      <c r="D8" s="96">
        <f>C8*B8</f>
        <v>360</v>
      </c>
      <c r="E8" s="96"/>
    </row>
    <row r="9" spans="1:5" ht="12.75">
      <c r="A9" s="39" t="s">
        <v>7</v>
      </c>
      <c r="B9" s="96">
        <v>0.2</v>
      </c>
      <c r="C9" s="96">
        <v>500</v>
      </c>
      <c r="D9" s="96">
        <f>C9*B9</f>
        <v>100</v>
      </c>
      <c r="E9" s="96"/>
    </row>
    <row r="10" spans="2:5" ht="12.75">
      <c r="B10" s="96">
        <v>0.2</v>
      </c>
      <c r="C10" s="96">
        <v>400</v>
      </c>
      <c r="D10" s="96">
        <f>C10*B10</f>
        <v>80</v>
      </c>
      <c r="E10" s="96"/>
    </row>
    <row r="11" spans="2:5" ht="12.75">
      <c r="B11" s="96"/>
      <c r="C11" s="96"/>
      <c r="D11" s="157">
        <f>SUM(D8:D10)</f>
        <v>540</v>
      </c>
      <c r="E11" s="158" t="s">
        <v>74</v>
      </c>
    </row>
    <row r="12" spans="2:5" ht="12.75">
      <c r="B12" s="96"/>
      <c r="C12" s="96"/>
      <c r="D12" s="96"/>
      <c r="E12" s="96"/>
    </row>
    <row r="13" spans="2:5" ht="12.75">
      <c r="B13" s="96">
        <v>0.3</v>
      </c>
      <c r="C13" s="96">
        <v>400</v>
      </c>
      <c r="D13" s="96">
        <f>C13*B13</f>
        <v>120</v>
      </c>
      <c r="E13" s="96"/>
    </row>
    <row r="14" spans="1:5" ht="12.75">
      <c r="A14" s="39" t="s">
        <v>23</v>
      </c>
      <c r="B14" s="96">
        <v>0.3</v>
      </c>
      <c r="C14" s="96">
        <v>300</v>
      </c>
      <c r="D14" s="96">
        <f>C14*B14</f>
        <v>90</v>
      </c>
      <c r="E14" s="96"/>
    </row>
    <row r="15" spans="2:5" ht="12.75">
      <c r="B15" s="96">
        <v>0.4</v>
      </c>
      <c r="C15" s="96">
        <v>600</v>
      </c>
      <c r="D15" s="96">
        <f>C15*B15</f>
        <v>240</v>
      </c>
      <c r="E15" s="96"/>
    </row>
    <row r="16" spans="2:5" ht="12.75">
      <c r="B16" s="96"/>
      <c r="C16" s="96"/>
      <c r="D16" s="97">
        <f>SUM(D13:D15)</f>
        <v>450</v>
      </c>
      <c r="E16" s="96"/>
    </row>
    <row r="17" spans="2:5" ht="12.75">
      <c r="B17" s="96"/>
      <c r="C17" s="96"/>
      <c r="D17" s="96"/>
      <c r="E17" s="97"/>
    </row>
    <row r="18" spans="2:5" ht="12.75">
      <c r="B18" s="96"/>
      <c r="C18" s="96"/>
      <c r="D18" s="96"/>
      <c r="E18" s="96"/>
    </row>
    <row r="19" spans="2:5" ht="12.75">
      <c r="B19" s="96"/>
      <c r="C19" s="96"/>
      <c r="D19" s="96"/>
      <c r="E19" s="9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0.625" style="4" bestFit="1" customWidth="1"/>
    <col min="2" max="2" width="14.625" style="4" bestFit="1" customWidth="1"/>
    <col min="3" max="3" width="22.125" style="4" bestFit="1" customWidth="1"/>
    <col min="4" max="5" width="9.125" style="4" customWidth="1"/>
    <col min="6" max="6" width="11.875" style="4" customWidth="1"/>
    <col min="7" max="16384" width="9.125" style="4" customWidth="1"/>
  </cols>
  <sheetData>
    <row r="1" ht="12">
      <c r="A1" s="123" t="s">
        <v>5</v>
      </c>
    </row>
    <row r="2" spans="2:3" ht="12">
      <c r="B2" s="4" t="s">
        <v>79</v>
      </c>
      <c r="C2" s="4" t="s">
        <v>81</v>
      </c>
    </row>
    <row r="3" spans="1:7" ht="12">
      <c r="A3" s="4" t="s">
        <v>76</v>
      </c>
      <c r="B3" s="164">
        <v>550</v>
      </c>
      <c r="C3" s="8">
        <v>0.35</v>
      </c>
      <c r="D3" s="165">
        <f>C3*B3</f>
        <v>192.5</v>
      </c>
      <c r="E3" s="165">
        <f>B3-$D$6</f>
        <v>-75</v>
      </c>
      <c r="F3" s="165">
        <f>E3^2</f>
        <v>5625</v>
      </c>
      <c r="G3" s="165">
        <f>F3*C3</f>
        <v>1968.7499999999998</v>
      </c>
    </row>
    <row r="4" spans="1:7" ht="12">
      <c r="A4" s="4" t="s">
        <v>77</v>
      </c>
      <c r="B4" s="164">
        <v>650</v>
      </c>
      <c r="C4" s="8">
        <v>0.45</v>
      </c>
      <c r="D4" s="165">
        <f>C4*B4</f>
        <v>292.5</v>
      </c>
      <c r="E4" s="165">
        <f>B4-$D$6</f>
        <v>25</v>
      </c>
      <c r="F4" s="165">
        <f>E4^2</f>
        <v>625</v>
      </c>
      <c r="G4" s="165">
        <f>F4*C4</f>
        <v>281.25</v>
      </c>
    </row>
    <row r="5" spans="1:11" ht="15">
      <c r="A5" s="4" t="s">
        <v>78</v>
      </c>
      <c r="B5" s="164">
        <v>700</v>
      </c>
      <c r="C5" s="8">
        <v>0.2</v>
      </c>
      <c r="D5" s="165">
        <f>C5*B5</f>
        <v>140</v>
      </c>
      <c r="E5" s="165">
        <f>B5-$D$6</f>
        <v>75</v>
      </c>
      <c r="F5" s="165">
        <f>E5^2</f>
        <v>5625</v>
      </c>
      <c r="G5" s="165">
        <f>F5*C5</f>
        <v>1125</v>
      </c>
      <c r="H5" s="169" t="s">
        <v>86</v>
      </c>
      <c r="I5" s="168"/>
      <c r="J5" s="168"/>
      <c r="K5" s="168"/>
    </row>
    <row r="6" spans="3:9" ht="12">
      <c r="C6" s="124" t="s">
        <v>83</v>
      </c>
      <c r="D6" s="166">
        <f>SUM(D3:D5)</f>
        <v>625</v>
      </c>
      <c r="F6" s="165"/>
      <c r="G6" s="167">
        <f>SUM(G3:G5)</f>
        <v>3375</v>
      </c>
      <c r="H6" s="4" t="s">
        <v>84</v>
      </c>
      <c r="I6" s="4">
        <f>D6-3*G7</f>
        <v>450.71574942066627</v>
      </c>
    </row>
    <row r="7" spans="4:9" ht="12">
      <c r="D7" s="120"/>
      <c r="F7" s="125" t="s">
        <v>82</v>
      </c>
      <c r="G7" s="118">
        <f>SQRT(G6)</f>
        <v>58.09475019311125</v>
      </c>
      <c r="H7" s="4" t="s">
        <v>85</v>
      </c>
      <c r="I7" s="4">
        <f>D6+3*G7</f>
        <v>799.2842505793337</v>
      </c>
    </row>
    <row r="8" spans="4:10" ht="12">
      <c r="D8" s="120"/>
      <c r="G8" s="109" t="s">
        <v>87</v>
      </c>
      <c r="H8" s="109"/>
      <c r="I8" s="109"/>
      <c r="J8" s="109"/>
    </row>
    <row r="9" spans="4:10" ht="12">
      <c r="D9" s="126" t="s">
        <v>88</v>
      </c>
      <c r="E9" s="126"/>
      <c r="F9" s="126"/>
      <c r="G9" s="126">
        <f>G7/D6</f>
        <v>0.092951600308978</v>
      </c>
      <c r="H9" s="120"/>
      <c r="I9" s="120"/>
      <c r="J9" s="120"/>
    </row>
    <row r="10" spans="4:11" ht="12">
      <c r="D10" s="120"/>
      <c r="G10" s="109" t="s">
        <v>89</v>
      </c>
      <c r="H10" s="109"/>
      <c r="I10" s="109"/>
      <c r="J10" s="109"/>
      <c r="K10" s="109"/>
    </row>
    <row r="11" ht="12">
      <c r="A11" s="123" t="s">
        <v>7</v>
      </c>
    </row>
    <row r="12" spans="2:3" ht="12">
      <c r="B12" s="4" t="s">
        <v>80</v>
      </c>
      <c r="C12" s="4" t="s">
        <v>81</v>
      </c>
    </row>
    <row r="13" spans="1:7" ht="12">
      <c r="A13" s="4" t="s">
        <v>76</v>
      </c>
      <c r="B13" s="164">
        <v>500</v>
      </c>
      <c r="C13" s="8">
        <v>0.4</v>
      </c>
      <c r="D13" s="165">
        <f>C13*B13</f>
        <v>200</v>
      </c>
      <c r="E13" s="165">
        <f>B13-$D$16</f>
        <v>-125</v>
      </c>
      <c r="F13" s="165">
        <f>E13^2</f>
        <v>15625</v>
      </c>
      <c r="G13" s="165">
        <f>F13*C13</f>
        <v>6250</v>
      </c>
    </row>
    <row r="14" spans="1:7" ht="12">
      <c r="A14" s="4" t="s">
        <v>77</v>
      </c>
      <c r="B14" s="164">
        <v>640</v>
      </c>
      <c r="C14" s="8">
        <v>0.35</v>
      </c>
      <c r="D14" s="165">
        <f>C14*B14</f>
        <v>224</v>
      </c>
      <c r="E14" s="165">
        <f>B14-$D$16</f>
        <v>15</v>
      </c>
      <c r="F14" s="165">
        <f>E14^2</f>
        <v>225</v>
      </c>
      <c r="G14" s="165">
        <f>F14*C14</f>
        <v>78.75</v>
      </c>
    </row>
    <row r="15" spans="1:11" ht="15">
      <c r="A15" s="4" t="s">
        <v>78</v>
      </c>
      <c r="B15" s="164">
        <v>670</v>
      </c>
      <c r="C15" s="8">
        <v>0.3</v>
      </c>
      <c r="D15" s="165">
        <f>C15*B15</f>
        <v>201</v>
      </c>
      <c r="E15" s="165">
        <f>B15-$D$16</f>
        <v>45</v>
      </c>
      <c r="F15" s="165">
        <f>E15^2</f>
        <v>2025</v>
      </c>
      <c r="G15" s="165">
        <f>F15*C15</f>
        <v>607.5</v>
      </c>
      <c r="H15" s="169" t="s">
        <v>86</v>
      </c>
      <c r="I15" s="168"/>
      <c r="J15" s="168"/>
      <c r="K15" s="168"/>
    </row>
    <row r="16" spans="3:9" ht="12">
      <c r="C16" s="124" t="s">
        <v>83</v>
      </c>
      <c r="D16" s="166">
        <f>SUM(D13:D15)</f>
        <v>625</v>
      </c>
      <c r="F16" s="165"/>
      <c r="G16" s="167">
        <f>SUM(G13:G15)</f>
        <v>6936.25</v>
      </c>
      <c r="H16" s="4" t="s">
        <v>84</v>
      </c>
      <c r="I16" s="4">
        <f>D16-3*G17</f>
        <v>375.14754353819137</v>
      </c>
    </row>
    <row r="17" spans="6:9" ht="12">
      <c r="F17" s="127" t="s">
        <v>82</v>
      </c>
      <c r="G17" s="128">
        <f>SQRT(G16)</f>
        <v>83.28415215393622</v>
      </c>
      <c r="H17" s="4" t="s">
        <v>85</v>
      </c>
      <c r="I17" s="4">
        <f>D16+3*G17</f>
        <v>874.8524564618086</v>
      </c>
    </row>
    <row r="18" spans="4:7" ht="12">
      <c r="D18" s="126" t="s">
        <v>88</v>
      </c>
      <c r="E18" s="126"/>
      <c r="F18" s="126"/>
      <c r="G18" s="126">
        <f>G17/D16</f>
        <v>0.13325464344629795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14.875" style="0" bestFit="1" customWidth="1"/>
    <col min="2" max="2" width="5.00390625" style="0" bestFit="1" customWidth="1"/>
    <col min="3" max="3" width="15.00390625" style="0" customWidth="1"/>
    <col min="4" max="4" width="15.375" style="0" customWidth="1"/>
    <col min="5" max="5" width="17.00390625" style="0" customWidth="1"/>
    <col min="6" max="6" width="15.125" style="0" bestFit="1" customWidth="1"/>
  </cols>
  <sheetData>
    <row r="1" spans="1:2" ht="12.75">
      <c r="A1" t="s">
        <v>45</v>
      </c>
      <c r="B1">
        <v>0.1</v>
      </c>
    </row>
    <row r="2" spans="1:2" ht="12.75">
      <c r="A2" t="s">
        <v>46</v>
      </c>
      <c r="B2">
        <v>3</v>
      </c>
    </row>
    <row r="3" spans="1:2" ht="12.75">
      <c r="A3" t="s">
        <v>44</v>
      </c>
      <c r="B3">
        <v>1000</v>
      </c>
    </row>
    <row r="4" ht="13.5" thickBot="1"/>
    <row r="5" spans="1:5" ht="14.25" thickBot="1" thickTop="1">
      <c r="A5" t="s">
        <v>46</v>
      </c>
      <c r="B5" s="81">
        <v>0</v>
      </c>
      <c r="C5" s="82">
        <v>1</v>
      </c>
      <c r="D5" s="82">
        <v>2</v>
      </c>
      <c r="E5" s="83">
        <v>3</v>
      </c>
    </row>
    <row r="6" spans="2:7" ht="13.5" thickTop="1">
      <c r="B6" s="43">
        <f>B3</f>
        <v>1000</v>
      </c>
      <c r="C6">
        <f>B6*(1+$B$1)</f>
        <v>1100</v>
      </c>
      <c r="D6">
        <f>C6*(1+$B$1)</f>
        <v>1210</v>
      </c>
      <c r="E6">
        <f>D6*(1+$B$1)</f>
        <v>1331</v>
      </c>
      <c r="F6" s="38" t="s">
        <v>90</v>
      </c>
      <c r="G6" s="92">
        <f>B3*(1+B1)^3</f>
        <v>1331.0000000000005</v>
      </c>
    </row>
    <row r="7" spans="1:6" ht="12.75">
      <c r="A7" s="38" t="s">
        <v>39</v>
      </c>
      <c r="B7">
        <f>C7/(1+$B$1)</f>
        <v>999.9999999999999</v>
      </c>
      <c r="C7">
        <f>D7/(1+$B$1)</f>
        <v>1100</v>
      </c>
      <c r="D7">
        <f>E7/(1+$B$1)</f>
        <v>1210</v>
      </c>
      <c r="E7" s="43">
        <f>E6</f>
        <v>1331</v>
      </c>
      <c r="F7" s="196">
        <f>FV(B1,B2,,B3)</f>
        <v>-1331.0000000000005</v>
      </c>
    </row>
    <row r="8" ht="12.75">
      <c r="A8" s="196">
        <f>PV(B1,B2,,F7)</f>
        <v>1000</v>
      </c>
    </row>
    <row r="9" ht="12.75">
      <c r="A9" s="92">
        <f>E7/(1+B1)^3</f>
        <v>999.9999999999997</v>
      </c>
    </row>
    <row r="10" ht="13.5" thickBot="1">
      <c r="A10" s="80"/>
    </row>
    <row r="11" spans="2:6" ht="14.25" thickBot="1" thickTop="1">
      <c r="B11" s="81">
        <v>0</v>
      </c>
      <c r="C11" s="82">
        <v>1</v>
      </c>
      <c r="D11" s="82">
        <v>2</v>
      </c>
      <c r="E11" s="83">
        <v>3</v>
      </c>
      <c r="F11" s="84" t="s">
        <v>63</v>
      </c>
    </row>
    <row r="12" spans="3:5" ht="13.5" thickTop="1">
      <c r="C12" s="43">
        <f>B3</f>
        <v>1000</v>
      </c>
      <c r="D12">
        <f>C12*(1+$B$1)</f>
        <v>1100</v>
      </c>
      <c r="E12">
        <f>D12*(1+$B$1)</f>
        <v>1210</v>
      </c>
    </row>
    <row r="13" spans="4:5" ht="12.75">
      <c r="D13" s="43">
        <f>B3</f>
        <v>1000</v>
      </c>
      <c r="E13">
        <f>D13*(1+$B$1)</f>
        <v>1100</v>
      </c>
    </row>
    <row r="14" ht="12.75">
      <c r="E14" s="43">
        <f>B3</f>
        <v>1000</v>
      </c>
    </row>
    <row r="15" spans="5:6" ht="12.75">
      <c r="E15" s="34">
        <f>SUM(E12:E14)</f>
        <v>3310</v>
      </c>
      <c r="F15" s="77">
        <f>FV(B1,B2,B3)</f>
        <v>-3310.000000000004</v>
      </c>
    </row>
    <row r="16" ht="12.75">
      <c r="F16" s="77"/>
    </row>
    <row r="18" ht="13.5" thickBot="1"/>
    <row r="19" spans="2:6" ht="14.25" thickBot="1" thickTop="1">
      <c r="B19" s="81">
        <v>0</v>
      </c>
      <c r="C19" s="85">
        <v>1</v>
      </c>
      <c r="D19" s="85">
        <v>2</v>
      </c>
      <c r="E19" s="86">
        <v>3</v>
      </c>
      <c r="F19" s="84" t="s">
        <v>67</v>
      </c>
    </row>
    <row r="20" spans="2:5" ht="13.5" thickTop="1">
      <c r="B20" s="43">
        <f>B3</f>
        <v>1000</v>
      </c>
      <c r="C20">
        <f>B20*(1+$B$1)</f>
        <v>1100</v>
      </c>
      <c r="D20">
        <f>C20*(1+$B$1)</f>
        <v>1210</v>
      </c>
      <c r="E20">
        <f>D20*(1+$B$1)</f>
        <v>1331</v>
      </c>
    </row>
    <row r="21" spans="3:5" ht="12.75">
      <c r="C21" s="43">
        <f>B3</f>
        <v>1000</v>
      </c>
      <c r="D21">
        <f>C21*(1+$B$1)</f>
        <v>1100</v>
      </c>
      <c r="E21">
        <f>D21*(1+$B$1)</f>
        <v>1210</v>
      </c>
    </row>
    <row r="22" spans="4:5" ht="12.75">
      <c r="D22" s="43">
        <f>B3</f>
        <v>1000</v>
      </c>
      <c r="E22">
        <f>D22*(1+$B$1)</f>
        <v>1100</v>
      </c>
    </row>
    <row r="23" spans="5:6" ht="12.75">
      <c r="E23" s="34">
        <f>SUM(E20:E22)</f>
        <v>3641</v>
      </c>
      <c r="F23" s="77">
        <f>FV(B1,B2,B3,,1)</f>
        <v>-3641.000000000005</v>
      </c>
    </row>
    <row r="26" ht="13.5" thickBot="1"/>
    <row r="27" spans="2:6" ht="14.25" thickBot="1" thickTop="1">
      <c r="B27" s="81">
        <v>0</v>
      </c>
      <c r="C27" s="82">
        <v>1</v>
      </c>
      <c r="D27" s="82">
        <v>2</v>
      </c>
      <c r="E27" s="83">
        <v>3</v>
      </c>
      <c r="F27" s="84" t="s">
        <v>61</v>
      </c>
    </row>
    <row r="28" spans="2:5" ht="13.5" thickTop="1">
      <c r="B28" s="36">
        <f aca="true" t="shared" si="0" ref="B28:C30">C28/(1+$B$1)</f>
        <v>751.3148009015775</v>
      </c>
      <c r="C28" s="36">
        <f t="shared" si="0"/>
        <v>826.4462809917354</v>
      </c>
      <c r="D28" s="36">
        <f>E28/(1+$B$1)</f>
        <v>909.090909090909</v>
      </c>
      <c r="E28" s="43">
        <v>1000</v>
      </c>
    </row>
    <row r="29" spans="2:4" ht="12.75">
      <c r="B29" s="36">
        <f t="shared" si="0"/>
        <v>826.4462809917354</v>
      </c>
      <c r="C29" s="36">
        <f t="shared" si="0"/>
        <v>909.090909090909</v>
      </c>
      <c r="D29" s="90">
        <f>B3</f>
        <v>1000</v>
      </c>
    </row>
    <row r="30" spans="2:4" ht="12.75">
      <c r="B30" s="36">
        <f t="shared" si="0"/>
        <v>909.090909090909</v>
      </c>
      <c r="C30" s="90">
        <f>B3</f>
        <v>1000</v>
      </c>
      <c r="D30" s="36"/>
    </row>
    <row r="31" spans="2:6" ht="12.75">
      <c r="B31" s="35">
        <f>SUM(B28:B30)</f>
        <v>2486.851990984222</v>
      </c>
      <c r="C31" s="36"/>
      <c r="D31" s="36"/>
      <c r="F31" s="87">
        <f>PV(B1,B2,B3)</f>
        <v>-2486.851990984225</v>
      </c>
    </row>
    <row r="33" ht="13.5" thickBot="1"/>
    <row r="34" spans="2:6" ht="14.25" thickBot="1" thickTop="1">
      <c r="B34" s="81">
        <v>0</v>
      </c>
      <c r="C34" s="85">
        <v>1</v>
      </c>
      <c r="D34" s="85">
        <v>2</v>
      </c>
      <c r="E34" s="86">
        <v>3</v>
      </c>
      <c r="F34" s="84" t="s">
        <v>65</v>
      </c>
    </row>
    <row r="35" spans="3:5" ht="13.5" thickTop="1">
      <c r="C35" s="88">
        <f>D35/(1+$B$1)</f>
        <v>826.4462809917354</v>
      </c>
      <c r="D35" s="88">
        <f>E35/(1+$B$1)</f>
        <v>909.090909090909</v>
      </c>
      <c r="E35" s="91">
        <f>B3</f>
        <v>1000</v>
      </c>
    </row>
    <row r="36" spans="3:4" ht="12.75">
      <c r="C36" s="88">
        <f>D36/(1+$B$1)</f>
        <v>909.090909090909</v>
      </c>
      <c r="D36" s="91">
        <f>B3</f>
        <v>1000</v>
      </c>
    </row>
    <row r="37" ht="12.75">
      <c r="C37" s="91">
        <f>B3</f>
        <v>1000</v>
      </c>
    </row>
    <row r="38" spans="3:6" ht="12.75">
      <c r="C38" s="89">
        <f>SUM(C35:C37)</f>
        <v>2735.5371900826444</v>
      </c>
      <c r="F38" s="87">
        <f>PV(B1,B2,B3,,1)</f>
        <v>-2735.5371900826476</v>
      </c>
    </row>
    <row r="42" ht="13.5" thickBot="1"/>
    <row r="43" spans="2:6" ht="14.25" thickBot="1" thickTop="1">
      <c r="B43" s="81">
        <v>0</v>
      </c>
      <c r="C43" s="82">
        <v>1</v>
      </c>
      <c r="D43" s="82">
        <v>2</v>
      </c>
      <c r="E43" s="83">
        <v>3</v>
      </c>
      <c r="F43" s="84" t="s">
        <v>91</v>
      </c>
    </row>
    <row r="44" spans="2:6" ht="13.5" thickTop="1">
      <c r="B44" s="36">
        <f>B31</f>
        <v>2486.851990984222</v>
      </c>
      <c r="C44" s="36">
        <f>B44*(1+$B$1)</f>
        <v>2735.5371900826444</v>
      </c>
      <c r="D44" s="36"/>
      <c r="E44" s="36"/>
      <c r="F44" s="77">
        <f>PMT(B1,B2,B44)</f>
        <v>-1000.0000000000002</v>
      </c>
    </row>
    <row r="45" spans="3:5" ht="12.75">
      <c r="C45" s="35">
        <v>1000</v>
      </c>
      <c r="D45" s="36"/>
      <c r="E45" s="36"/>
    </row>
    <row r="46" spans="3:5" ht="12.75">
      <c r="C46" s="36">
        <f>C44-C45</f>
        <v>1735.5371900826444</v>
      </c>
      <c r="D46" s="36">
        <f>C46*(1+$B$1)</f>
        <v>1909.090909090909</v>
      </c>
      <c r="E46" s="36"/>
    </row>
    <row r="47" spans="3:5" ht="12.75">
      <c r="C47" s="36"/>
      <c r="D47" s="35">
        <v>1000</v>
      </c>
      <c r="E47" s="36"/>
    </row>
    <row r="48" spans="3:5" ht="12.75">
      <c r="C48" s="36"/>
      <c r="D48" s="36">
        <f>D46-D47</f>
        <v>909.090909090909</v>
      </c>
      <c r="E48" s="36">
        <f>D48*(1+$B$1)</f>
        <v>1000</v>
      </c>
    </row>
    <row r="49" spans="3:5" ht="12.75">
      <c r="C49" s="36"/>
      <c r="D49" s="36"/>
      <c r="E49" s="35">
        <v>1000</v>
      </c>
    </row>
    <row r="50" spans="3:5" ht="12.75">
      <c r="C50" s="36"/>
      <c r="D50" s="36"/>
      <c r="E50" s="36">
        <f>E48-E49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19" sqref="F19"/>
    </sheetView>
  </sheetViews>
  <sheetFormatPr defaultColWidth="9.00390625" defaultRowHeight="12.75"/>
  <cols>
    <col min="2" max="2" width="11.875" style="0" customWidth="1"/>
    <col min="3" max="3" width="9.875" style="0" customWidth="1"/>
    <col min="4" max="4" width="11.75390625" style="0" customWidth="1"/>
  </cols>
  <sheetData>
    <row r="1" ht="12.75">
      <c r="A1" t="s">
        <v>150</v>
      </c>
    </row>
    <row r="2" ht="12.75">
      <c r="A2" t="s">
        <v>151</v>
      </c>
    </row>
    <row r="3" spans="1:4" ht="12.75">
      <c r="A3" t="s">
        <v>152</v>
      </c>
      <c r="C3" s="148">
        <v>0.05</v>
      </c>
      <c r="D3" t="s">
        <v>153</v>
      </c>
    </row>
    <row r="4" spans="1:4" ht="12.75">
      <c r="A4" t="s">
        <v>154</v>
      </c>
      <c r="C4" s="148">
        <v>0.05</v>
      </c>
      <c r="D4" t="s">
        <v>153</v>
      </c>
    </row>
    <row r="5" spans="1:4" ht="12.75">
      <c r="A5" t="s">
        <v>155</v>
      </c>
      <c r="C5" s="148">
        <v>0.05</v>
      </c>
      <c r="D5" t="s">
        <v>156</v>
      </c>
    </row>
    <row r="6" spans="1:4" ht="12.75">
      <c r="A6" t="s">
        <v>157</v>
      </c>
      <c r="C6" s="148">
        <v>0.05</v>
      </c>
      <c r="D6" t="s">
        <v>156</v>
      </c>
    </row>
    <row r="7" ht="12.75">
      <c r="A7" t="s">
        <v>158</v>
      </c>
    </row>
    <row r="10" spans="1:7" ht="12.75">
      <c r="A10" s="149"/>
      <c r="B10" s="149"/>
      <c r="C10" s="150">
        <v>36525</v>
      </c>
      <c r="D10" s="150">
        <v>36891</v>
      </c>
      <c r="E10" s="149"/>
      <c r="F10" s="149"/>
      <c r="G10" s="151"/>
    </row>
    <row r="11" spans="1:7" ht="12.75">
      <c r="A11" s="149" t="s">
        <v>159</v>
      </c>
      <c r="B11" s="149" t="s">
        <v>160</v>
      </c>
      <c r="C11" s="149" t="s">
        <v>161</v>
      </c>
      <c r="D11" s="149" t="s">
        <v>161</v>
      </c>
      <c r="E11" s="149" t="s">
        <v>162</v>
      </c>
      <c r="F11" s="152" t="s">
        <v>163</v>
      </c>
      <c r="G11" s="151"/>
    </row>
    <row r="12" spans="1:7" ht="12.75">
      <c r="A12" s="149" t="s">
        <v>164</v>
      </c>
      <c r="B12" s="149">
        <v>2000</v>
      </c>
      <c r="C12" s="149">
        <v>2.5</v>
      </c>
      <c r="D12" s="149">
        <v>3</v>
      </c>
      <c r="E12" s="149">
        <v>0.075</v>
      </c>
      <c r="F12" s="195">
        <f>(((D12-C12)/C12)+(E12/C12))</f>
        <v>0.23</v>
      </c>
      <c r="G12" s="151"/>
    </row>
    <row r="13" spans="1:7" ht="12.75">
      <c r="A13" s="149" t="s">
        <v>165</v>
      </c>
      <c r="B13" s="149">
        <v>300</v>
      </c>
      <c r="C13" s="149">
        <v>20</v>
      </c>
      <c r="D13" s="149">
        <v>18</v>
      </c>
      <c r="E13" s="149">
        <v>1</v>
      </c>
      <c r="F13" s="195">
        <f>(((D13-C13)/C13)+(E13/C13))</f>
        <v>-0.05</v>
      </c>
      <c r="G13" s="151"/>
    </row>
    <row r="14" spans="1:7" ht="12.75">
      <c r="A14" s="149" t="s">
        <v>166</v>
      </c>
      <c r="B14" s="149">
        <v>6000</v>
      </c>
      <c r="C14" s="149">
        <v>0.5</v>
      </c>
      <c r="D14" s="149">
        <v>0.56</v>
      </c>
      <c r="E14" s="149">
        <v>0.02</v>
      </c>
      <c r="F14" s="195">
        <f>(((D14-C14)/C14)+(E14/C14))</f>
        <v>0.16000000000000011</v>
      </c>
      <c r="G14" s="151"/>
    </row>
    <row r="15" spans="1:7" ht="12.75">
      <c r="A15" s="149" t="s">
        <v>167</v>
      </c>
      <c r="B15" s="149">
        <v>40000</v>
      </c>
      <c r="C15" s="149">
        <v>0.15</v>
      </c>
      <c r="D15" s="149">
        <v>0.14</v>
      </c>
      <c r="E15" s="149">
        <v>0</v>
      </c>
      <c r="F15" s="195">
        <f>(((D15-C15)/C15)+(E15/C15))</f>
        <v>-0.06666666666666654</v>
      </c>
      <c r="G15" s="151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0.625" style="0" bestFit="1" customWidth="1"/>
    <col min="2" max="2" width="12.75390625" style="0" bestFit="1" customWidth="1"/>
    <col min="3" max="3" width="15.875" style="0" bestFit="1" customWidth="1"/>
    <col min="4" max="4" width="7.00390625" style="0" bestFit="1" customWidth="1"/>
    <col min="5" max="5" width="12.75390625" style="0" bestFit="1" customWidth="1"/>
    <col min="6" max="6" width="16.25390625" style="0" bestFit="1" customWidth="1"/>
    <col min="7" max="7" width="7.875" style="0" bestFit="1" customWidth="1"/>
    <col min="8" max="8" width="16.25390625" style="0" bestFit="1" customWidth="1"/>
    <col min="9" max="9" width="15.875" style="0" bestFit="1" customWidth="1"/>
    <col min="10" max="10" width="6.875" style="0" bestFit="1" customWidth="1"/>
  </cols>
  <sheetData>
    <row r="1" spans="2:9" ht="12.75">
      <c r="B1" s="199" t="s">
        <v>95</v>
      </c>
      <c r="C1" s="199"/>
      <c r="E1" s="199" t="s">
        <v>96</v>
      </c>
      <c r="F1" s="199"/>
      <c r="H1" s="199" t="s">
        <v>97</v>
      </c>
      <c r="I1" s="199"/>
    </row>
    <row r="2" spans="2:9" ht="12.75">
      <c r="B2" s="200" t="s">
        <v>106</v>
      </c>
      <c r="C2" s="200"/>
      <c r="E2" s="200" t="s">
        <v>106</v>
      </c>
      <c r="F2" s="200"/>
      <c r="H2" s="200" t="s">
        <v>106</v>
      </c>
      <c r="I2" s="200"/>
    </row>
    <row r="3" spans="1:10" ht="12.75">
      <c r="A3" s="1" t="s">
        <v>98</v>
      </c>
      <c r="B3" s="93" t="s">
        <v>104</v>
      </c>
      <c r="C3" s="93" t="s">
        <v>105</v>
      </c>
      <c r="D3" s="94" t="s">
        <v>109</v>
      </c>
      <c r="E3" s="93" t="s">
        <v>104</v>
      </c>
      <c r="F3" s="93" t="s">
        <v>105</v>
      </c>
      <c r="G3" s="94" t="s">
        <v>109</v>
      </c>
      <c r="H3" s="93" t="s">
        <v>104</v>
      </c>
      <c r="I3" s="93" t="s">
        <v>105</v>
      </c>
      <c r="J3" s="94" t="s">
        <v>109</v>
      </c>
    </row>
    <row r="4" spans="1:10" ht="12.75">
      <c r="A4" t="s">
        <v>99</v>
      </c>
      <c r="B4" s="26">
        <v>0.3</v>
      </c>
      <c r="C4" s="26">
        <v>0.035</v>
      </c>
      <c r="D4" s="26">
        <f>C4*B4</f>
        <v>0.0105</v>
      </c>
      <c r="E4" s="26">
        <v>0.1</v>
      </c>
      <c r="F4" s="26">
        <v>0.035</v>
      </c>
      <c r="G4" s="26">
        <f>F4*E4</f>
        <v>0.0035000000000000005</v>
      </c>
      <c r="H4" s="26">
        <v>0.3</v>
      </c>
      <c r="I4" s="26">
        <v>0.035</v>
      </c>
      <c r="J4" s="26">
        <f>I4*H4</f>
        <v>0.0105</v>
      </c>
    </row>
    <row r="5" spans="1:10" ht="12.75">
      <c r="A5" t="s">
        <v>100</v>
      </c>
      <c r="B5" s="26">
        <v>0.05</v>
      </c>
      <c r="C5" s="26">
        <v>0.15</v>
      </c>
      <c r="D5" s="26">
        <f>C5*B5</f>
        <v>0.0075</v>
      </c>
      <c r="E5" s="26">
        <v>0.3</v>
      </c>
      <c r="F5" s="26">
        <v>0.15</v>
      </c>
      <c r="G5" s="26">
        <f>F5*E5</f>
        <v>0.045</v>
      </c>
      <c r="H5" s="26">
        <v>0.15</v>
      </c>
      <c r="I5" s="26">
        <v>0.15</v>
      </c>
      <c r="J5" s="26">
        <f>I5*H5</f>
        <v>0.0225</v>
      </c>
    </row>
    <row r="6" spans="1:10" ht="12.75">
      <c r="A6" t="s">
        <v>101</v>
      </c>
      <c r="B6" s="26">
        <v>0.4</v>
      </c>
      <c r="C6" s="26">
        <v>0.025</v>
      </c>
      <c r="D6" s="26">
        <f>C6*B6</f>
        <v>0.010000000000000002</v>
      </c>
      <c r="E6" s="26">
        <v>0.1</v>
      </c>
      <c r="F6" s="26">
        <v>0.025</v>
      </c>
      <c r="G6" s="26">
        <f>F6*E6</f>
        <v>0.0025000000000000005</v>
      </c>
      <c r="H6" s="26">
        <v>0.1</v>
      </c>
      <c r="I6" s="26">
        <v>0.025</v>
      </c>
      <c r="J6" s="26">
        <f>I6*H6</f>
        <v>0.0025000000000000005</v>
      </c>
    </row>
    <row r="7" spans="1:10" ht="12.75">
      <c r="A7" t="s">
        <v>103</v>
      </c>
      <c r="B7" s="26">
        <v>0.2</v>
      </c>
      <c r="C7" s="26">
        <v>0.0285</v>
      </c>
      <c r="D7" s="26">
        <f>C7*B7</f>
        <v>0.0057</v>
      </c>
      <c r="E7" s="26">
        <v>0.1</v>
      </c>
      <c r="F7" s="26">
        <v>0.0285</v>
      </c>
      <c r="G7" s="26">
        <f>F7*E7</f>
        <v>0.00285</v>
      </c>
      <c r="H7" s="26">
        <v>0.2</v>
      </c>
      <c r="I7" s="26">
        <v>0.0285</v>
      </c>
      <c r="J7" s="26">
        <f>I7*H7</f>
        <v>0.0057</v>
      </c>
    </row>
    <row r="8" spans="1:10" ht="12.75">
      <c r="A8" t="s">
        <v>102</v>
      </c>
      <c r="B8" s="26">
        <v>0.05</v>
      </c>
      <c r="C8" s="26">
        <v>0.15</v>
      </c>
      <c r="D8" s="26">
        <f>C8*B8</f>
        <v>0.0075</v>
      </c>
      <c r="E8" s="26">
        <v>0.4</v>
      </c>
      <c r="F8" s="26">
        <v>0.15</v>
      </c>
      <c r="G8" s="26">
        <f>F8*E8</f>
        <v>0.06</v>
      </c>
      <c r="H8" s="26">
        <v>0.25</v>
      </c>
      <c r="I8" s="26">
        <v>0.15</v>
      </c>
      <c r="J8" s="26">
        <f>I8*H8</f>
        <v>0.0375</v>
      </c>
    </row>
    <row r="9" spans="2:10" ht="12.75">
      <c r="B9" s="26">
        <f>SUM(B4:B8)</f>
        <v>1</v>
      </c>
      <c r="C9" s="26"/>
      <c r="D9" s="95">
        <f>SUM(D4:D8)</f>
        <v>0.04120000000000001</v>
      </c>
      <c r="E9" s="26">
        <f>SUM(E4:E8)</f>
        <v>1</v>
      </c>
      <c r="F9" s="26"/>
      <c r="G9" s="95">
        <f>SUM(G4:G8)</f>
        <v>0.11385</v>
      </c>
      <c r="H9" s="26">
        <f>SUM(H4:H8)</f>
        <v>1</v>
      </c>
      <c r="I9" s="26"/>
      <c r="J9" s="95">
        <f>SUM(J4:J8)</f>
        <v>0.07869999999999999</v>
      </c>
    </row>
    <row r="11" spans="2:9" ht="12.75">
      <c r="B11" s="199" t="s">
        <v>95</v>
      </c>
      <c r="C11" s="199"/>
      <c r="E11" s="199" t="s">
        <v>96</v>
      </c>
      <c r="F11" s="199"/>
      <c r="H11" s="199" t="s">
        <v>97</v>
      </c>
      <c r="I11" s="199"/>
    </row>
    <row r="12" spans="2:9" ht="12.75">
      <c r="B12" s="201" t="s">
        <v>107</v>
      </c>
      <c r="C12" s="201"/>
      <c r="E12" s="201" t="s">
        <v>107</v>
      </c>
      <c r="F12" s="201"/>
      <c r="H12" s="201" t="s">
        <v>107</v>
      </c>
      <c r="I12" s="201"/>
    </row>
    <row r="13" spans="1:10" ht="12.75">
      <c r="A13" s="1" t="s">
        <v>98</v>
      </c>
      <c r="B13" s="93" t="s">
        <v>104</v>
      </c>
      <c r="C13" s="93" t="s">
        <v>105</v>
      </c>
      <c r="D13" s="94" t="s">
        <v>109</v>
      </c>
      <c r="E13" s="93" t="s">
        <v>104</v>
      </c>
      <c r="F13" s="93" t="s">
        <v>105</v>
      </c>
      <c r="G13" s="94" t="s">
        <v>109</v>
      </c>
      <c r="H13" s="93" t="s">
        <v>104</v>
      </c>
      <c r="I13" s="93" t="s">
        <v>105</v>
      </c>
      <c r="J13" s="94" t="s">
        <v>109</v>
      </c>
    </row>
    <row r="14" spans="1:10" ht="12.75">
      <c r="A14" t="s">
        <v>99</v>
      </c>
      <c r="B14" s="26">
        <v>0.3</v>
      </c>
      <c r="C14" s="26">
        <v>0.035</v>
      </c>
      <c r="D14" s="26">
        <f>C14*B14</f>
        <v>0.0105</v>
      </c>
      <c r="E14" s="26">
        <v>0.1</v>
      </c>
      <c r="F14" s="26">
        <v>0.035</v>
      </c>
      <c r="G14" s="26">
        <f>F14*E14</f>
        <v>0.0035000000000000005</v>
      </c>
      <c r="H14" s="26">
        <v>0.3</v>
      </c>
      <c r="I14" s="26">
        <v>0.035</v>
      </c>
      <c r="J14" s="26">
        <f>I14*H14</f>
        <v>0.0105</v>
      </c>
    </row>
    <row r="15" spans="1:10" ht="12.75">
      <c r="A15" t="s">
        <v>100</v>
      </c>
      <c r="B15" s="26">
        <v>0.05</v>
      </c>
      <c r="C15" s="26">
        <v>0</v>
      </c>
      <c r="D15" s="26">
        <f>C15*B15</f>
        <v>0</v>
      </c>
      <c r="E15" s="26">
        <v>0.3</v>
      </c>
      <c r="F15" s="26">
        <v>0</v>
      </c>
      <c r="G15" s="26">
        <f>F15*E15</f>
        <v>0</v>
      </c>
      <c r="H15" s="26">
        <v>0.15</v>
      </c>
      <c r="I15" s="26">
        <v>0</v>
      </c>
      <c r="J15" s="26">
        <f>I15*H15</f>
        <v>0</v>
      </c>
    </row>
    <row r="16" spans="1:10" ht="12.75">
      <c r="A16" t="s">
        <v>101</v>
      </c>
      <c r="B16" s="26">
        <v>0.4</v>
      </c>
      <c r="C16" s="26">
        <v>0.025</v>
      </c>
      <c r="D16" s="26">
        <f>C16*B16</f>
        <v>0.010000000000000002</v>
      </c>
      <c r="E16" s="26">
        <v>0.1</v>
      </c>
      <c r="F16" s="26">
        <v>0.025</v>
      </c>
      <c r="G16" s="26">
        <f>F16*E16</f>
        <v>0.0025000000000000005</v>
      </c>
      <c r="H16" s="26">
        <v>0.1</v>
      </c>
      <c r="I16" s="26">
        <v>0.025</v>
      </c>
      <c r="J16" s="26">
        <f>I16*H16</f>
        <v>0.0025000000000000005</v>
      </c>
    </row>
    <row r="17" spans="1:10" ht="12.75">
      <c r="A17" t="s">
        <v>103</v>
      </c>
      <c r="B17" s="26">
        <v>0.2</v>
      </c>
      <c r="C17" s="26">
        <v>0.0285</v>
      </c>
      <c r="D17" s="26">
        <f>C17*B17</f>
        <v>0.0057</v>
      </c>
      <c r="E17" s="26">
        <v>0.1</v>
      </c>
      <c r="F17" s="26">
        <v>0.0285</v>
      </c>
      <c r="G17" s="26">
        <f>F17*E17</f>
        <v>0.00285</v>
      </c>
      <c r="H17" s="26">
        <v>0.2</v>
      </c>
      <c r="I17" s="26">
        <v>0.0285</v>
      </c>
      <c r="J17" s="26">
        <f>I17*H17</f>
        <v>0.0057</v>
      </c>
    </row>
    <row r="18" spans="1:10" ht="12.75">
      <c r="A18" t="s">
        <v>102</v>
      </c>
      <c r="B18" s="26">
        <v>0.05</v>
      </c>
      <c r="C18" s="26">
        <v>0</v>
      </c>
      <c r="D18" s="26">
        <f>C18*B18</f>
        <v>0</v>
      </c>
      <c r="E18" s="26">
        <v>0.4</v>
      </c>
      <c r="F18" s="26">
        <v>0</v>
      </c>
      <c r="G18" s="26">
        <f>F18*E18</f>
        <v>0</v>
      </c>
      <c r="H18" s="26">
        <v>0.25</v>
      </c>
      <c r="I18" s="26">
        <v>0</v>
      </c>
      <c r="J18" s="26">
        <f>I18*H18</f>
        <v>0</v>
      </c>
    </row>
    <row r="19" spans="2:10" ht="12.75">
      <c r="B19" s="26">
        <f>SUM(B14:B18)</f>
        <v>1</v>
      </c>
      <c r="C19" s="26"/>
      <c r="D19" s="95">
        <f>SUM(D14:D18)</f>
        <v>0.026200000000000005</v>
      </c>
      <c r="E19" s="26">
        <f>SUM(E14:E18)</f>
        <v>1</v>
      </c>
      <c r="F19" s="26"/>
      <c r="G19" s="95">
        <f>SUM(G14:G18)</f>
        <v>0.00885</v>
      </c>
      <c r="H19" s="26">
        <f>SUM(H14:H18)</f>
        <v>1</v>
      </c>
      <c r="I19" s="26"/>
      <c r="J19" s="95">
        <f>SUM(J14:J18)</f>
        <v>0.0187</v>
      </c>
    </row>
    <row r="21" spans="2:9" ht="12.75">
      <c r="B21" s="199" t="s">
        <v>95</v>
      </c>
      <c r="C21" s="199"/>
      <c r="E21" s="199" t="s">
        <v>96</v>
      </c>
      <c r="F21" s="199"/>
      <c r="H21" s="199" t="s">
        <v>97</v>
      </c>
      <c r="I21" s="199"/>
    </row>
    <row r="22" spans="2:9" ht="12.75">
      <c r="B22" s="202" t="s">
        <v>108</v>
      </c>
      <c r="C22" s="202"/>
      <c r="E22" s="202" t="s">
        <v>108</v>
      </c>
      <c r="F22" s="202"/>
      <c r="H22" s="202" t="s">
        <v>108</v>
      </c>
      <c r="I22" s="202"/>
    </row>
    <row r="23" spans="1:10" ht="12.75">
      <c r="A23" s="1" t="s">
        <v>98</v>
      </c>
      <c r="B23" s="93" t="s">
        <v>104</v>
      </c>
      <c r="C23" s="93" t="s">
        <v>105</v>
      </c>
      <c r="D23" s="94" t="s">
        <v>109</v>
      </c>
      <c r="E23" s="93" t="s">
        <v>104</v>
      </c>
      <c r="F23" s="93" t="s">
        <v>105</v>
      </c>
      <c r="G23" s="94" t="s">
        <v>109</v>
      </c>
      <c r="H23" s="93" t="s">
        <v>104</v>
      </c>
      <c r="I23" s="93" t="s">
        <v>105</v>
      </c>
      <c r="J23" s="94" t="s">
        <v>109</v>
      </c>
    </row>
    <row r="24" spans="1:10" ht="12.75">
      <c r="A24" t="s">
        <v>99</v>
      </c>
      <c r="B24" s="26">
        <v>0.3</v>
      </c>
      <c r="C24" s="26">
        <v>0.035</v>
      </c>
      <c r="D24" s="26">
        <f>C24*B24</f>
        <v>0.0105</v>
      </c>
      <c r="E24" s="26">
        <v>0.1</v>
      </c>
      <c r="F24" s="26">
        <v>0.035</v>
      </c>
      <c r="G24" s="26">
        <f>F24*E24</f>
        <v>0.0035000000000000005</v>
      </c>
      <c r="H24" s="26">
        <v>0.3</v>
      </c>
      <c r="I24" s="26">
        <v>0.035</v>
      </c>
      <c r="J24" s="26">
        <f>I24*H24</f>
        <v>0.0105</v>
      </c>
    </row>
    <row r="25" spans="1:10" ht="12.75">
      <c r="A25" t="s">
        <v>100</v>
      </c>
      <c r="B25" s="26">
        <v>0.05</v>
      </c>
      <c r="C25" s="26">
        <v>-0.2</v>
      </c>
      <c r="D25" s="26">
        <f>C25*B25</f>
        <v>-0.010000000000000002</v>
      </c>
      <c r="E25" s="26">
        <v>0.3</v>
      </c>
      <c r="F25" s="26">
        <v>-0.2</v>
      </c>
      <c r="G25" s="26">
        <f>F25*E25</f>
        <v>-0.06</v>
      </c>
      <c r="H25" s="26">
        <v>0.15</v>
      </c>
      <c r="I25" s="26">
        <v>-0.2</v>
      </c>
      <c r="J25" s="26">
        <f>I25*H25</f>
        <v>-0.03</v>
      </c>
    </row>
    <row r="26" spans="1:10" ht="12.75">
      <c r="A26" t="s">
        <v>101</v>
      </c>
      <c r="B26" s="26">
        <v>0.4</v>
      </c>
      <c r="C26" s="26">
        <v>0.025</v>
      </c>
      <c r="D26" s="26">
        <f>C26*B26</f>
        <v>0.010000000000000002</v>
      </c>
      <c r="E26" s="26">
        <v>0.1</v>
      </c>
      <c r="F26" s="26">
        <v>0.025</v>
      </c>
      <c r="G26" s="26">
        <f>F26*E26</f>
        <v>0.0025000000000000005</v>
      </c>
      <c r="H26" s="26">
        <v>0.1</v>
      </c>
      <c r="I26" s="26">
        <v>0.025</v>
      </c>
      <c r="J26" s="26">
        <f>I26*H26</f>
        <v>0.0025000000000000005</v>
      </c>
    </row>
    <row r="27" spans="1:10" ht="12.75">
      <c r="A27" t="s">
        <v>103</v>
      </c>
      <c r="B27" s="26">
        <v>0.2</v>
      </c>
      <c r="C27" s="26">
        <v>0.0285</v>
      </c>
      <c r="D27" s="26">
        <f>C27*B27</f>
        <v>0.0057</v>
      </c>
      <c r="E27" s="26">
        <v>0.1</v>
      </c>
      <c r="F27" s="26">
        <v>0.0285</v>
      </c>
      <c r="G27" s="26">
        <f>F27*E27</f>
        <v>0.00285</v>
      </c>
      <c r="H27" s="26">
        <v>0.2</v>
      </c>
      <c r="I27" s="26">
        <v>0.0285</v>
      </c>
      <c r="J27" s="26">
        <f>I27*H27</f>
        <v>0.0057</v>
      </c>
    </row>
    <row r="28" spans="1:10" ht="12.75">
      <c r="A28" t="s">
        <v>102</v>
      </c>
      <c r="B28" s="26">
        <v>0.05</v>
      </c>
      <c r="C28" s="26">
        <v>-0.2</v>
      </c>
      <c r="D28" s="26">
        <f>C28*B28</f>
        <v>-0.010000000000000002</v>
      </c>
      <c r="E28" s="26">
        <v>0.4</v>
      </c>
      <c r="F28" s="26">
        <v>-0.2</v>
      </c>
      <c r="G28" s="26">
        <f>F28*E28</f>
        <v>-0.08000000000000002</v>
      </c>
      <c r="H28" s="26">
        <v>0.25</v>
      </c>
      <c r="I28" s="26">
        <v>-0.2</v>
      </c>
      <c r="J28" s="26">
        <f>I28*H28</f>
        <v>-0.05</v>
      </c>
    </row>
    <row r="29" spans="2:10" ht="12.75">
      <c r="B29" s="26">
        <f>SUM(B24:B28)</f>
        <v>1</v>
      </c>
      <c r="C29" s="26"/>
      <c r="D29" s="95">
        <f>SUM(D24:D28)</f>
        <v>0.006199999999999997</v>
      </c>
      <c r="E29" s="26">
        <f>SUM(E24:E28)</f>
        <v>1</v>
      </c>
      <c r="F29" s="26"/>
      <c r="G29" s="95">
        <f>SUM(G24:G28)</f>
        <v>-0.13115000000000002</v>
      </c>
      <c r="H29" s="26">
        <f>SUM(H24:H28)</f>
        <v>1</v>
      </c>
      <c r="I29" s="26"/>
      <c r="J29" s="95">
        <f>SUM(J24:J28)</f>
        <v>-0.06129999999999999</v>
      </c>
    </row>
  </sheetData>
  <sheetProtection/>
  <mergeCells count="18">
    <mergeCell ref="H1:I1"/>
    <mergeCell ref="H11:I11"/>
    <mergeCell ref="H21:I21"/>
    <mergeCell ref="H12:I12"/>
    <mergeCell ref="B22:C22"/>
    <mergeCell ref="E22:F22"/>
    <mergeCell ref="H22:I22"/>
    <mergeCell ref="H2:I2"/>
    <mergeCell ref="B1:C1"/>
    <mergeCell ref="B11:C11"/>
    <mergeCell ref="B21:C21"/>
    <mergeCell ref="E1:F1"/>
    <mergeCell ref="E11:F11"/>
    <mergeCell ref="E21:F21"/>
    <mergeCell ref="B2:C2"/>
    <mergeCell ref="E2:F2"/>
    <mergeCell ref="B12:C12"/>
    <mergeCell ref="E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7.25390625" style="181" bestFit="1" customWidth="1"/>
    <col min="2" max="2" width="12.25390625" style="170" customWidth="1"/>
    <col min="3" max="3" width="12.375" style="170" bestFit="1" customWidth="1"/>
    <col min="4" max="4" width="13.375" style="170" bestFit="1" customWidth="1"/>
    <col min="5" max="5" width="18.25390625" style="170" bestFit="1" customWidth="1"/>
    <col min="6" max="6" width="21.00390625" style="170" bestFit="1" customWidth="1"/>
    <col min="7" max="16384" width="9.125" style="170" customWidth="1"/>
  </cols>
  <sheetData>
    <row r="1" spans="1:6" ht="17.25" thickBot="1" thickTop="1">
      <c r="A1" s="198" t="s">
        <v>119</v>
      </c>
      <c r="B1" s="198"/>
      <c r="C1" s="198"/>
      <c r="D1" s="198"/>
      <c r="E1" s="198"/>
      <c r="F1" s="198"/>
    </row>
    <row r="2" spans="1:6" ht="17.25" thickBot="1" thickTop="1">
      <c r="A2" s="171" t="s">
        <v>120</v>
      </c>
      <c r="B2" s="172" t="s">
        <v>45</v>
      </c>
      <c r="C2" s="172" t="s">
        <v>46</v>
      </c>
      <c r="D2" s="172" t="s">
        <v>44</v>
      </c>
      <c r="E2" s="173" t="s">
        <v>121</v>
      </c>
      <c r="F2" s="184" t="s">
        <v>122</v>
      </c>
    </row>
    <row r="3" spans="1:6" ht="16.5" thickBot="1" thickTop="1">
      <c r="A3" s="174" t="s">
        <v>123</v>
      </c>
      <c r="B3" s="174">
        <v>0.19</v>
      </c>
      <c r="C3" s="174">
        <v>3</v>
      </c>
      <c r="D3" s="174">
        <v>150000</v>
      </c>
      <c r="E3" s="175">
        <f>FV(B3,C3,,-D3,0)</f>
        <v>252773.84999999998</v>
      </c>
      <c r="F3" s="176">
        <f>D3*(1+B3)^C3</f>
        <v>252773.84999999998</v>
      </c>
    </row>
    <row r="4" spans="1:6" ht="16.5" thickBot="1" thickTop="1">
      <c r="A4" s="174" t="s">
        <v>124</v>
      </c>
      <c r="B4" s="174">
        <f>B3/2</f>
        <v>0.095</v>
      </c>
      <c r="C4" s="174">
        <f>C3*2</f>
        <v>6</v>
      </c>
      <c r="D4" s="174">
        <f>D3</f>
        <v>150000</v>
      </c>
      <c r="E4" s="175">
        <f>FV(B4,C4,,-D4,0)</f>
        <v>258568.7131984711</v>
      </c>
      <c r="F4" s="176">
        <f>D4*(1+B4)^C4</f>
        <v>258568.7131984711</v>
      </c>
    </row>
    <row r="5" spans="1:6" ht="16.5" thickBot="1" thickTop="1">
      <c r="A5" s="174" t="s">
        <v>125</v>
      </c>
      <c r="B5" s="174">
        <v>0.19</v>
      </c>
      <c r="C5" s="174">
        <v>3</v>
      </c>
      <c r="D5" s="174">
        <f>D4</f>
        <v>150000</v>
      </c>
      <c r="E5" s="175">
        <f>EXP(C4*B4)*D5</f>
        <v>265240.0577150603</v>
      </c>
      <c r="F5" s="176">
        <f>2.7182^(B5*C5)*D5</f>
        <v>265235.5065071962</v>
      </c>
    </row>
    <row r="6" spans="1:6" ht="17.25" thickBot="1" thickTop="1">
      <c r="A6" s="174"/>
      <c r="B6" s="174"/>
      <c r="C6" s="174"/>
      <c r="D6" s="174"/>
      <c r="E6" s="177" t="s">
        <v>39</v>
      </c>
      <c r="F6" s="178"/>
    </row>
    <row r="7" spans="1:6" ht="16.5" thickBot="1" thickTop="1">
      <c r="A7" s="174" t="s">
        <v>126</v>
      </c>
      <c r="B7" s="174">
        <v>0.12</v>
      </c>
      <c r="C7" s="174">
        <v>5</v>
      </c>
      <c r="D7" s="174">
        <v>5000000</v>
      </c>
      <c r="E7" s="175">
        <f>PV(B7,C7,,-D7,0)</f>
        <v>2837134.2785929963</v>
      </c>
      <c r="F7" s="178">
        <f>D7/(1+B7)^C7</f>
        <v>2837134.2785929963</v>
      </c>
    </row>
    <row r="8" spans="1:6" ht="16.5" thickBot="1" thickTop="1">
      <c r="A8" s="174" t="s">
        <v>127</v>
      </c>
      <c r="B8" s="174">
        <f>B7/4</f>
        <v>0.03</v>
      </c>
      <c r="C8" s="174">
        <f>C7*4</f>
        <v>20</v>
      </c>
      <c r="D8" s="174">
        <f>D7</f>
        <v>5000000</v>
      </c>
      <c r="E8" s="175">
        <f>PV(B8,C8,,-D8,0)</f>
        <v>2768378.7709316746</v>
      </c>
      <c r="F8" s="178">
        <f>D8/(1+B8)^C8</f>
        <v>2768378.7709316746</v>
      </c>
    </row>
    <row r="9" spans="1:6" ht="17.25" thickBot="1" thickTop="1">
      <c r="A9" s="179" t="s">
        <v>128</v>
      </c>
      <c r="B9" s="180">
        <v>0.1</v>
      </c>
      <c r="C9" s="180">
        <v>5</v>
      </c>
      <c r="D9" s="180">
        <v>100000</v>
      </c>
      <c r="E9" s="173" t="s">
        <v>129</v>
      </c>
      <c r="F9" s="178"/>
    </row>
    <row r="10" spans="1:6" ht="16.5" thickBot="1" thickTop="1">
      <c r="A10" s="174" t="s">
        <v>130</v>
      </c>
      <c r="B10" s="174">
        <f>B9/2</f>
        <v>0.05</v>
      </c>
      <c r="C10" s="174">
        <f>C9*2</f>
        <v>10</v>
      </c>
      <c r="D10" s="174"/>
      <c r="E10" s="175">
        <f>PV(B10,C10,-$D$9,,0)</f>
        <v>772173.4929184812</v>
      </c>
      <c r="F10" s="178"/>
    </row>
    <row r="11" spans="1:6" ht="16.5" thickBot="1" thickTop="1">
      <c r="A11" s="174" t="s">
        <v>131</v>
      </c>
      <c r="B11" s="174">
        <f>B9/4</f>
        <v>0.025</v>
      </c>
      <c r="C11" s="174">
        <f>C9*4</f>
        <v>20</v>
      </c>
      <c r="D11" s="174"/>
      <c r="E11" s="175">
        <f>PV(B11,C11,-$D$9,,0)</f>
        <v>1558916.2285646785</v>
      </c>
      <c r="F11" s="178"/>
    </row>
    <row r="12" spans="1:6" ht="16.5" thickBot="1" thickTop="1">
      <c r="A12" s="174" t="s">
        <v>132</v>
      </c>
      <c r="B12" s="174">
        <f>B9/2</f>
        <v>0.05</v>
      </c>
      <c r="C12" s="174">
        <f>C9*2</f>
        <v>10</v>
      </c>
      <c r="D12" s="174"/>
      <c r="E12" s="175">
        <f>FV(B12,C12,-$D$9,,0)</f>
        <v>1257789.253554883</v>
      </c>
      <c r="F12" s="178"/>
    </row>
    <row r="13" spans="1:6" ht="16.5" thickBot="1" thickTop="1">
      <c r="A13" s="174" t="s">
        <v>133</v>
      </c>
      <c r="B13" s="174">
        <f>B9/4</f>
        <v>0.025</v>
      </c>
      <c r="C13" s="174">
        <f>C9*4</f>
        <v>20</v>
      </c>
      <c r="D13" s="174"/>
      <c r="E13" s="175">
        <f>FV(B13,C13,-$D$9,,0)</f>
        <v>2554465.761161582</v>
      </c>
      <c r="F13" s="178"/>
    </row>
    <row r="14" spans="1:6" ht="16.5" thickBot="1" thickTop="1">
      <c r="A14" s="174" t="s">
        <v>134</v>
      </c>
      <c r="B14" s="174">
        <f>B9/2</f>
        <v>0.05</v>
      </c>
      <c r="C14" s="174">
        <f>C9*2</f>
        <v>10</v>
      </c>
      <c r="D14" s="174"/>
      <c r="E14" s="175">
        <f>PV(B14,C14,-$D$9,,1)</f>
        <v>810782.1675644054</v>
      </c>
      <c r="F14" s="178"/>
    </row>
    <row r="15" spans="1:6" ht="16.5" thickBot="1" thickTop="1">
      <c r="A15" s="174" t="s">
        <v>135</v>
      </c>
      <c r="B15" s="174">
        <f>B9/4</f>
        <v>0.025</v>
      </c>
      <c r="C15" s="174">
        <f>C9*4</f>
        <v>20</v>
      </c>
      <c r="D15" s="174"/>
      <c r="E15" s="175">
        <f>PV(B15,C15,-$D$9,,1)</f>
        <v>1597889.1342787954</v>
      </c>
      <c r="F15" s="178"/>
    </row>
    <row r="16" spans="1:6" ht="16.5" thickBot="1" thickTop="1">
      <c r="A16" s="174" t="s">
        <v>136</v>
      </c>
      <c r="B16" s="174">
        <f>B9/2</f>
        <v>0.05</v>
      </c>
      <c r="C16" s="174">
        <f>C9*2</f>
        <v>10</v>
      </c>
      <c r="D16" s="174"/>
      <c r="E16" s="175">
        <f>FV(B16,C16,-$D$9,,1)</f>
        <v>1320678.7162326272</v>
      </c>
      <c r="F16" s="178"/>
    </row>
    <row r="17" spans="1:6" ht="16.5" thickBot="1" thickTop="1">
      <c r="A17" s="174" t="s">
        <v>137</v>
      </c>
      <c r="B17" s="174">
        <f>B9/4</f>
        <v>0.025</v>
      </c>
      <c r="C17" s="174">
        <f>C9*4</f>
        <v>20</v>
      </c>
      <c r="D17" s="174"/>
      <c r="E17" s="175">
        <f>FV(B17,C17,-$D$9,,1)</f>
        <v>2618327.4051906215</v>
      </c>
      <c r="F17" s="178"/>
    </row>
    <row r="18" spans="1:6" ht="16.5" thickBot="1" thickTop="1">
      <c r="A18" s="174" t="s">
        <v>138</v>
      </c>
      <c r="B18" s="174">
        <v>0.015</v>
      </c>
      <c r="C18" s="174">
        <v>12</v>
      </c>
      <c r="D18" s="174">
        <v>140000</v>
      </c>
      <c r="E18" s="175">
        <f>PV(B18,C18,-$D$18,,1)</f>
        <v>1549956.4899109432</v>
      </c>
      <c r="F18" s="178"/>
    </row>
    <row r="19" spans="1:6" ht="16.5" thickBot="1" thickTop="1">
      <c r="A19" s="174" t="s">
        <v>139</v>
      </c>
      <c r="B19" s="174">
        <f>0.06/12</f>
        <v>0.005</v>
      </c>
      <c r="C19" s="174">
        <v>0</v>
      </c>
      <c r="D19" s="174">
        <v>100000</v>
      </c>
      <c r="E19" s="175">
        <f>D19/B19</f>
        <v>20000000</v>
      </c>
      <c r="F19" s="178"/>
    </row>
    <row r="20" spans="1:6" ht="16.5" thickBot="1" thickTop="1">
      <c r="A20" s="174" t="s">
        <v>140</v>
      </c>
      <c r="B20" s="174">
        <f>0.12/12</f>
        <v>0.01</v>
      </c>
      <c r="C20" s="174">
        <f>12.5*12</f>
        <v>150</v>
      </c>
      <c r="D20" s="174">
        <v>15000000</v>
      </c>
      <c r="E20" s="175">
        <f>PMT(B20,C20,-D20)</f>
        <v>193498.1452456673</v>
      </c>
      <c r="F20" s="178"/>
    </row>
    <row r="21" spans="2:5" ht="15.75" thickTop="1">
      <c r="B21" s="182"/>
      <c r="E21" s="182"/>
    </row>
    <row r="22" ht="15">
      <c r="E22" s="182"/>
    </row>
    <row r="23" ht="15">
      <c r="C23" s="18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7.25390625" style="181" bestFit="1" customWidth="1"/>
    <col min="2" max="2" width="12.25390625" style="170" customWidth="1"/>
    <col min="3" max="3" width="12.75390625" style="170" bestFit="1" customWidth="1"/>
    <col min="4" max="4" width="13.375" style="170" bestFit="1" customWidth="1"/>
    <col min="5" max="5" width="18.25390625" style="170" bestFit="1" customWidth="1"/>
    <col min="6" max="6" width="21.00390625" style="170" bestFit="1" customWidth="1"/>
    <col min="7" max="16384" width="9.125" style="170" customWidth="1"/>
  </cols>
  <sheetData>
    <row r="1" spans="1:6" ht="17.25" thickBot="1" thickTop="1">
      <c r="A1" s="198" t="s">
        <v>119</v>
      </c>
      <c r="B1" s="198"/>
      <c r="C1" s="198"/>
      <c r="D1" s="198"/>
      <c r="E1" s="198"/>
      <c r="F1" s="198"/>
    </row>
    <row r="2" spans="1:6" ht="17.25" thickBot="1" thickTop="1">
      <c r="A2" s="171" t="s">
        <v>120</v>
      </c>
      <c r="B2" s="172" t="s">
        <v>45</v>
      </c>
      <c r="C2" s="172" t="s">
        <v>46</v>
      </c>
      <c r="D2" s="172" t="s">
        <v>44</v>
      </c>
      <c r="E2" s="173" t="s">
        <v>121</v>
      </c>
      <c r="F2" s="184" t="s">
        <v>122</v>
      </c>
    </row>
    <row r="3" spans="1:7" ht="16.5" thickBot="1" thickTop="1">
      <c r="A3" s="187" t="s">
        <v>123</v>
      </c>
      <c r="B3" s="174">
        <v>0.08</v>
      </c>
      <c r="C3" s="174">
        <v>4</v>
      </c>
      <c r="D3" s="174">
        <v>1000</v>
      </c>
      <c r="E3" s="175">
        <f>FV(B3,C3,,-D3,0)</f>
        <v>1360.4889600000004</v>
      </c>
      <c r="F3" s="185">
        <f>D3*(1+B3)^C3</f>
        <v>1360.4889600000004</v>
      </c>
      <c r="G3" s="170" t="s">
        <v>175</v>
      </c>
    </row>
    <row r="4" spans="1:7" ht="16.5" thickBot="1" thickTop="1">
      <c r="A4" s="187" t="s">
        <v>176</v>
      </c>
      <c r="B4" s="174">
        <f>0.2/4</f>
        <v>0.05</v>
      </c>
      <c r="C4" s="174">
        <f>5*4</f>
        <v>20</v>
      </c>
      <c r="D4" s="174">
        <v>10000</v>
      </c>
      <c r="E4" s="175">
        <f>FV(B4,C4,,-D4,0)</f>
        <v>26532.97705144421</v>
      </c>
      <c r="F4" s="185">
        <f>D4*(1+B4)^C4</f>
        <v>26532.97705144421</v>
      </c>
      <c r="G4" s="170" t="s">
        <v>177</v>
      </c>
    </row>
    <row r="5" spans="1:6" ht="17.25" thickBot="1" thickTop="1">
      <c r="A5" s="174"/>
      <c r="B5" s="174"/>
      <c r="C5" s="174"/>
      <c r="D5" s="174"/>
      <c r="E5" s="177" t="s">
        <v>39</v>
      </c>
      <c r="F5" s="186"/>
    </row>
    <row r="6" spans="1:7" ht="16.5" thickBot="1" thickTop="1">
      <c r="A6" s="187" t="s">
        <v>126</v>
      </c>
      <c r="B6" s="174">
        <v>0.1</v>
      </c>
      <c r="C6" s="174">
        <v>6</v>
      </c>
      <c r="D6" s="174">
        <v>20000</v>
      </c>
      <c r="E6" s="175">
        <f>PV(B6,C6,,-D6,0)</f>
        <v>11289.478601075543</v>
      </c>
      <c r="F6" s="186">
        <f>D6/(1+B6)^C6</f>
        <v>11289.478601075543</v>
      </c>
      <c r="G6" s="170" t="s">
        <v>180</v>
      </c>
    </row>
    <row r="7" spans="1:7" ht="17.25" thickBot="1" thickTop="1">
      <c r="A7" s="179" t="s">
        <v>186</v>
      </c>
      <c r="B7" s="180">
        <v>0.06</v>
      </c>
      <c r="C7" s="180">
        <v>20</v>
      </c>
      <c r="D7" s="180">
        <v>50</v>
      </c>
      <c r="E7" s="173">
        <v>1000</v>
      </c>
      <c r="F7" s="193">
        <f>PV(B7,C7,-D7,-E7)</f>
        <v>885.3007878143474</v>
      </c>
      <c r="G7" s="170" t="s">
        <v>187</v>
      </c>
    </row>
    <row r="8" spans="1:7" ht="16.5" thickBot="1" thickTop="1">
      <c r="A8" s="187" t="s">
        <v>179</v>
      </c>
      <c r="B8" s="174">
        <v>0.08</v>
      </c>
      <c r="C8" s="174">
        <v>6</v>
      </c>
      <c r="D8" s="174">
        <v>1000</v>
      </c>
      <c r="E8" s="175">
        <f>FV(B8,C8,-$D$8,,0)</f>
        <v>7335.9290368000065</v>
      </c>
      <c r="F8" s="186"/>
      <c r="G8" s="170" t="s">
        <v>178</v>
      </c>
    </row>
    <row r="9" spans="1:7" ht="16.5" thickBot="1" thickTop="1">
      <c r="A9" s="192" t="s">
        <v>185</v>
      </c>
      <c r="B9" s="174">
        <v>0.1</v>
      </c>
      <c r="C9" s="174">
        <v>5</v>
      </c>
      <c r="D9" s="174">
        <v>1</v>
      </c>
      <c r="E9" s="190">
        <f>FV(B9,C9,-$D$9,,0)</f>
        <v>6.1051000000000055</v>
      </c>
      <c r="F9" s="191">
        <f>5000/E9</f>
        <v>818.9874039737261</v>
      </c>
      <c r="G9" s="170" t="s">
        <v>184</v>
      </c>
    </row>
    <row r="10" spans="1:7" ht="16.5" thickBot="1" thickTop="1">
      <c r="A10" s="187" t="s">
        <v>139</v>
      </c>
      <c r="B10" s="174">
        <v>0.1</v>
      </c>
      <c r="C10" s="174">
        <v>0</v>
      </c>
      <c r="D10" s="174">
        <v>80</v>
      </c>
      <c r="E10" s="194">
        <f>D10/B10</f>
        <v>800</v>
      </c>
      <c r="F10" s="186"/>
      <c r="G10" s="170" t="s">
        <v>181</v>
      </c>
    </row>
    <row r="11" spans="1:7" ht="16.5" thickBot="1" thickTop="1">
      <c r="A11" s="187" t="s">
        <v>182</v>
      </c>
      <c r="B11" s="174">
        <v>0.14</v>
      </c>
      <c r="C11" s="174">
        <v>5</v>
      </c>
      <c r="D11" s="174">
        <v>200000</v>
      </c>
      <c r="E11" s="194">
        <f>PMT(B11,C11,-D11)</f>
        <v>58256.7092982087</v>
      </c>
      <c r="F11" s="186"/>
      <c r="G11" s="170" t="s">
        <v>183</v>
      </c>
    </row>
    <row r="12" spans="2:5" ht="15.75" thickTop="1">
      <c r="B12" s="182"/>
      <c r="E12" s="182"/>
    </row>
    <row r="13" spans="3:5" ht="15">
      <c r="C13" s="188"/>
      <c r="E13" s="182"/>
    </row>
    <row r="14" ht="15">
      <c r="C14" s="1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I6" sqref="I6:I9"/>
    </sheetView>
  </sheetViews>
  <sheetFormatPr defaultColWidth="9.00390625" defaultRowHeight="12.75"/>
  <cols>
    <col min="1" max="1" width="11.75390625" style="0" customWidth="1"/>
    <col min="2" max="8" width="6.625" style="0" bestFit="1" customWidth="1"/>
    <col min="9" max="17" width="7.625" style="0" bestFit="1" customWidth="1"/>
    <col min="18" max="26" width="8.625" style="0" bestFit="1" customWidth="1"/>
    <col min="27" max="28" width="9.625" style="0" bestFit="1" customWidth="1"/>
    <col min="29" max="29" width="9.875" style="0" customWidth="1"/>
    <col min="30" max="31" width="9.625" style="0" bestFit="1" customWidth="1"/>
  </cols>
  <sheetData>
    <row r="1" spans="1:2" ht="12.75">
      <c r="A1" s="203" t="s">
        <v>44</v>
      </c>
      <c r="B1">
        <v>1</v>
      </c>
    </row>
    <row r="2" spans="1:2" ht="12.75">
      <c r="A2" t="s">
        <v>147</v>
      </c>
      <c r="B2">
        <v>0.01</v>
      </c>
    </row>
    <row r="3" spans="1:2" ht="12.75">
      <c r="A3" t="s">
        <v>46</v>
      </c>
      <c r="B3">
        <v>1</v>
      </c>
    </row>
    <row r="4" spans="1:2" ht="12.75">
      <c r="A4" t="s">
        <v>148</v>
      </c>
      <c r="B4">
        <f>$B$1*(1+B2)^B3</f>
        <v>1.01</v>
      </c>
    </row>
    <row r="5" spans="1:31" ht="12.75">
      <c r="A5" s="144">
        <f>B4</f>
        <v>1.01</v>
      </c>
      <c r="B5" s="153">
        <v>0.01</v>
      </c>
      <c r="C5" s="153">
        <v>0.02</v>
      </c>
      <c r="D5" s="153">
        <v>0.03</v>
      </c>
      <c r="E5" s="153">
        <v>0.04</v>
      </c>
      <c r="F5" s="153">
        <v>0.05</v>
      </c>
      <c r="G5" s="153">
        <v>0.06</v>
      </c>
      <c r="H5" s="153">
        <v>0.07</v>
      </c>
      <c r="I5" s="153">
        <v>0.08</v>
      </c>
      <c r="J5" s="153">
        <v>0.09</v>
      </c>
      <c r="K5" s="153">
        <v>0.1</v>
      </c>
      <c r="L5" s="153">
        <v>0.11</v>
      </c>
      <c r="M5" s="153">
        <v>0.12</v>
      </c>
      <c r="N5" s="153">
        <v>0.13</v>
      </c>
      <c r="O5" s="153">
        <v>0.14</v>
      </c>
      <c r="P5" s="153">
        <v>0.15</v>
      </c>
      <c r="Q5" s="153">
        <v>0.16</v>
      </c>
      <c r="R5" s="153">
        <v>0.17</v>
      </c>
      <c r="S5" s="153">
        <v>0.18</v>
      </c>
      <c r="T5" s="153">
        <v>0.19</v>
      </c>
      <c r="U5" s="153">
        <v>0.2</v>
      </c>
      <c r="V5" s="153">
        <v>0.21</v>
      </c>
      <c r="W5" s="153">
        <v>0.22</v>
      </c>
      <c r="X5" s="153">
        <v>0.23</v>
      </c>
      <c r="Y5" s="153">
        <v>0.24</v>
      </c>
      <c r="Z5" s="153">
        <v>0.25</v>
      </c>
      <c r="AA5" s="153">
        <v>0.26</v>
      </c>
      <c r="AB5" s="153">
        <v>0.27</v>
      </c>
      <c r="AC5" s="153">
        <v>0.28</v>
      </c>
      <c r="AD5" s="153">
        <v>0.29</v>
      </c>
      <c r="AE5" s="153">
        <v>0.3</v>
      </c>
    </row>
    <row r="6" spans="1:31" ht="12.75">
      <c r="A6" s="145">
        <v>1</v>
      </c>
      <c r="B6" s="146">
        <v>1.01</v>
      </c>
      <c r="C6" s="146">
        <v>1.02</v>
      </c>
      <c r="D6" s="146">
        <v>1.03</v>
      </c>
      <c r="E6" s="146">
        <v>1.04</v>
      </c>
      <c r="F6" s="146">
        <v>1.05</v>
      </c>
      <c r="G6" s="146">
        <v>1.06</v>
      </c>
      <c r="H6" s="146">
        <v>1.07</v>
      </c>
      <c r="I6" s="204">
        <v>1.08</v>
      </c>
      <c r="J6" s="146">
        <v>1.09</v>
      </c>
      <c r="K6" s="146">
        <v>1.1</v>
      </c>
      <c r="L6" s="146">
        <v>1.11</v>
      </c>
      <c r="M6" s="146">
        <v>1.12</v>
      </c>
      <c r="N6" s="146">
        <v>1.13</v>
      </c>
      <c r="O6" s="146">
        <v>1.14</v>
      </c>
      <c r="P6" s="146">
        <v>1.15</v>
      </c>
      <c r="Q6" s="146">
        <v>1.16</v>
      </c>
      <c r="R6" s="146">
        <v>1.17</v>
      </c>
      <c r="S6" s="146">
        <v>1.18</v>
      </c>
      <c r="T6" s="146">
        <v>1.19</v>
      </c>
      <c r="U6" s="146">
        <v>1.2</v>
      </c>
      <c r="V6" s="146">
        <v>1.21</v>
      </c>
      <c r="W6" s="146">
        <v>1.22</v>
      </c>
      <c r="X6" s="146">
        <v>1.23</v>
      </c>
      <c r="Y6" s="146">
        <v>1.24</v>
      </c>
      <c r="Z6" s="146">
        <v>1.25</v>
      </c>
      <c r="AA6" s="146">
        <v>1.26</v>
      </c>
      <c r="AB6" s="146">
        <v>1.27</v>
      </c>
      <c r="AC6" s="146">
        <v>1.28</v>
      </c>
      <c r="AD6" s="146">
        <v>1.29</v>
      </c>
      <c r="AE6" s="146">
        <v>1.3</v>
      </c>
    </row>
    <row r="7" spans="1:31" ht="12.75">
      <c r="A7" s="145">
        <v>2</v>
      </c>
      <c r="B7" s="146">
        <v>1.0201</v>
      </c>
      <c r="C7" s="146">
        <v>1.0404</v>
      </c>
      <c r="D7" s="146">
        <v>1.0609</v>
      </c>
      <c r="E7" s="146">
        <v>1.0816000000000001</v>
      </c>
      <c r="F7" s="146">
        <v>1.1025</v>
      </c>
      <c r="G7" s="146">
        <v>1.1236000000000002</v>
      </c>
      <c r="H7" s="146">
        <v>1.1449</v>
      </c>
      <c r="I7" s="204">
        <v>1.1664</v>
      </c>
      <c r="J7" s="146">
        <v>1.1881000000000002</v>
      </c>
      <c r="K7" s="146">
        <v>1.21</v>
      </c>
      <c r="L7" s="146">
        <v>1.2321000000000002</v>
      </c>
      <c r="M7" s="204">
        <v>1.2544000000000002</v>
      </c>
      <c r="N7" s="146">
        <v>1.2768999999999997</v>
      </c>
      <c r="O7" s="146">
        <v>1.2996000000000003</v>
      </c>
      <c r="P7" s="146">
        <v>1.3225</v>
      </c>
      <c r="Q7" s="146">
        <v>1.3456</v>
      </c>
      <c r="R7" s="146">
        <v>1.3688999999999998</v>
      </c>
      <c r="S7" s="146">
        <v>1.3923999999999999</v>
      </c>
      <c r="T7" s="146">
        <v>1.4161</v>
      </c>
      <c r="U7" s="146">
        <v>1.44</v>
      </c>
      <c r="V7" s="146">
        <v>1.4641</v>
      </c>
      <c r="W7" s="146">
        <v>1.4884</v>
      </c>
      <c r="X7" s="146">
        <v>1.5129</v>
      </c>
      <c r="Y7" s="146">
        <v>1.5376</v>
      </c>
      <c r="Z7" s="146">
        <v>1.5625</v>
      </c>
      <c r="AA7" s="146">
        <v>1.5876000000000001</v>
      </c>
      <c r="AB7" s="146">
        <v>1.6129</v>
      </c>
      <c r="AC7" s="146">
        <v>1.6384</v>
      </c>
      <c r="AD7" s="146">
        <v>1.6641000000000001</v>
      </c>
      <c r="AE7" s="146">
        <v>1.69</v>
      </c>
    </row>
    <row r="8" spans="1:31" ht="12.75">
      <c r="A8" s="145">
        <v>3</v>
      </c>
      <c r="B8" s="146">
        <v>1.030301</v>
      </c>
      <c r="C8" s="146">
        <v>1.061208</v>
      </c>
      <c r="D8" s="146">
        <v>1.092727</v>
      </c>
      <c r="E8" s="146">
        <v>1.124864</v>
      </c>
      <c r="F8" s="146">
        <v>1.1576250000000001</v>
      </c>
      <c r="G8" s="146">
        <v>1.1910160000000003</v>
      </c>
      <c r="H8" s="146">
        <v>1.225043</v>
      </c>
      <c r="I8" s="204">
        <v>1.2597120000000002</v>
      </c>
      <c r="J8" s="146">
        <v>1.2950290000000002</v>
      </c>
      <c r="K8" s="146">
        <v>1.3310000000000004</v>
      </c>
      <c r="L8" s="146">
        <v>1.3676310000000003</v>
      </c>
      <c r="M8" s="146">
        <v>1.4049280000000004</v>
      </c>
      <c r="N8" s="146">
        <v>1.4428969999999994</v>
      </c>
      <c r="O8" s="146">
        <v>1.4815440000000004</v>
      </c>
      <c r="P8" s="146">
        <v>1.5208749999999995</v>
      </c>
      <c r="Q8" s="146">
        <v>1.5608959999999998</v>
      </c>
      <c r="R8" s="146">
        <v>1.6016129999999997</v>
      </c>
      <c r="S8" s="146">
        <v>1.6430319999999998</v>
      </c>
      <c r="T8" s="146">
        <v>1.6851589999999999</v>
      </c>
      <c r="U8" s="146">
        <v>1.728</v>
      </c>
      <c r="V8" s="146">
        <v>1.771561</v>
      </c>
      <c r="W8" s="146">
        <v>1.815848</v>
      </c>
      <c r="X8" s="146">
        <v>1.8608669999999998</v>
      </c>
      <c r="Y8" s="146">
        <v>1.906624</v>
      </c>
      <c r="Z8" s="146">
        <v>1.953125</v>
      </c>
      <c r="AA8" s="146">
        <v>2.000376</v>
      </c>
      <c r="AB8" s="146">
        <v>2.048383</v>
      </c>
      <c r="AC8" s="146">
        <v>2.0971520000000003</v>
      </c>
      <c r="AD8" s="146">
        <v>2.1466890000000003</v>
      </c>
      <c r="AE8" s="146">
        <v>2.1970000000000005</v>
      </c>
    </row>
    <row r="9" spans="1:31" ht="12.75">
      <c r="A9" s="145">
        <v>4</v>
      </c>
      <c r="B9" s="146">
        <v>1.04060401</v>
      </c>
      <c r="C9" s="146">
        <v>1.08243216</v>
      </c>
      <c r="D9" s="146">
        <v>1.12550881</v>
      </c>
      <c r="E9" s="146">
        <v>1.1698585600000002</v>
      </c>
      <c r="F9" s="146">
        <v>1.21550625</v>
      </c>
      <c r="G9" s="204">
        <v>1.2624769600000003</v>
      </c>
      <c r="H9" s="146">
        <v>1.31079601</v>
      </c>
      <c r="I9" s="204">
        <v>1.3604889600000003</v>
      </c>
      <c r="J9" s="146">
        <v>1.4115816100000003</v>
      </c>
      <c r="K9" s="146">
        <v>1.4641000000000004</v>
      </c>
      <c r="L9" s="146">
        <v>1.5180704100000004</v>
      </c>
      <c r="M9" s="146">
        <v>1.5735193600000004</v>
      </c>
      <c r="N9" s="146">
        <v>1.6304736099999992</v>
      </c>
      <c r="O9" s="146">
        <v>1.6889601600000008</v>
      </c>
      <c r="P9" s="146">
        <v>1.7490062499999994</v>
      </c>
      <c r="Q9" s="146">
        <v>1.8106393599999997</v>
      </c>
      <c r="R9" s="146">
        <v>1.8738872099999995</v>
      </c>
      <c r="S9" s="146">
        <v>1.9387777599999996</v>
      </c>
      <c r="T9" s="146">
        <v>2.00533921</v>
      </c>
      <c r="U9" s="146">
        <v>2.0736</v>
      </c>
      <c r="V9" s="146">
        <v>2.14358881</v>
      </c>
      <c r="W9" s="146">
        <v>2.2153345599999996</v>
      </c>
      <c r="X9" s="146">
        <v>2.28886641</v>
      </c>
      <c r="Y9" s="146">
        <v>2.36421376</v>
      </c>
      <c r="Z9" s="146">
        <v>2.44140625</v>
      </c>
      <c r="AA9" s="146">
        <v>2.5204737600000002</v>
      </c>
      <c r="AB9" s="146">
        <v>2.60144641</v>
      </c>
      <c r="AC9" s="146">
        <v>2.68435456</v>
      </c>
      <c r="AD9" s="146">
        <v>2.7692288100000004</v>
      </c>
      <c r="AE9" s="146">
        <v>2.8561000000000005</v>
      </c>
    </row>
    <row r="10" spans="1:31" ht="12.75">
      <c r="A10" s="145">
        <v>5</v>
      </c>
      <c r="B10" s="146">
        <v>1.0510100501</v>
      </c>
      <c r="C10" s="146">
        <v>1.1040808032</v>
      </c>
      <c r="D10" s="146">
        <v>1.1592740742999998</v>
      </c>
      <c r="E10" s="146">
        <v>1.2166529024000003</v>
      </c>
      <c r="F10" s="146">
        <v>1.2762815625000001</v>
      </c>
      <c r="G10" s="204">
        <v>1.3382255776000005</v>
      </c>
      <c r="H10" s="146">
        <v>1.4025517307000002</v>
      </c>
      <c r="I10" s="204">
        <v>1.4693280768000003</v>
      </c>
      <c r="J10" s="146">
        <v>1.5386239549000005</v>
      </c>
      <c r="K10" s="146">
        <v>1.6105100000000006</v>
      </c>
      <c r="L10" s="146">
        <v>1.6850581551000006</v>
      </c>
      <c r="M10" s="146">
        <v>1.7623416832000005</v>
      </c>
      <c r="N10" s="146">
        <v>1.842435179299999</v>
      </c>
      <c r="O10" s="146">
        <v>1.925414582400001</v>
      </c>
      <c r="P10" s="146">
        <v>2.0113571874999994</v>
      </c>
      <c r="Q10" s="146">
        <v>2.1003416575999996</v>
      </c>
      <c r="R10" s="146">
        <v>2.192448035699999</v>
      </c>
      <c r="S10" s="146">
        <v>2.287757756799999</v>
      </c>
      <c r="T10" s="146">
        <v>2.3863536598999997</v>
      </c>
      <c r="U10" s="146">
        <v>2.48832</v>
      </c>
      <c r="V10" s="146">
        <v>2.5937424600999996</v>
      </c>
      <c r="W10" s="146">
        <v>2.7027081631999996</v>
      </c>
      <c r="X10" s="146">
        <v>2.8153056842999997</v>
      </c>
      <c r="Y10" s="146">
        <v>2.9316250624</v>
      </c>
      <c r="Z10" s="146">
        <v>3.0517578125</v>
      </c>
      <c r="AA10" s="146">
        <v>3.1757969376000004</v>
      </c>
      <c r="AB10" s="146">
        <v>3.3038369406999997</v>
      </c>
      <c r="AC10" s="146">
        <v>3.4359738368</v>
      </c>
      <c r="AD10" s="146">
        <v>3.572305164900001</v>
      </c>
      <c r="AE10" s="146">
        <v>3.712930000000001</v>
      </c>
    </row>
    <row r="11" spans="1:31" ht="12.75">
      <c r="A11" s="145">
        <v>6</v>
      </c>
      <c r="B11" s="146">
        <v>1.0615201506010001</v>
      </c>
      <c r="C11" s="146">
        <v>1.126162419264</v>
      </c>
      <c r="D11" s="146">
        <v>1.194052296529</v>
      </c>
      <c r="E11" s="146">
        <v>1.2653190184960004</v>
      </c>
      <c r="F11" s="146">
        <v>1.340095640625</v>
      </c>
      <c r="G11" s="146">
        <v>1.4185191122560006</v>
      </c>
      <c r="H11" s="146">
        <v>1.500730351849</v>
      </c>
      <c r="I11" s="146">
        <v>1.5868743229440005</v>
      </c>
      <c r="J11" s="146">
        <v>1.6771001108410006</v>
      </c>
      <c r="K11" s="146">
        <v>1.7715610000000008</v>
      </c>
      <c r="L11" s="146">
        <v>1.8704145521610007</v>
      </c>
      <c r="M11" s="146">
        <v>1.9738226851840008</v>
      </c>
      <c r="N11" s="146">
        <v>2.0819517526089983</v>
      </c>
      <c r="O11" s="146">
        <v>2.1949726239360015</v>
      </c>
      <c r="P11" s="146">
        <v>2.313060765624999</v>
      </c>
      <c r="Q11" s="146">
        <v>2.4363963228159995</v>
      </c>
      <c r="R11" s="146">
        <v>2.565164201768999</v>
      </c>
      <c r="S11" s="146">
        <v>2.6995541530239993</v>
      </c>
      <c r="T11" s="146">
        <v>2.8397608552809994</v>
      </c>
      <c r="U11" s="146">
        <v>2.9859839999999997</v>
      </c>
      <c r="V11" s="146">
        <v>3.1384283767209995</v>
      </c>
      <c r="W11" s="146">
        <v>3.297303959103999</v>
      </c>
      <c r="X11" s="146">
        <v>3.4628259916889994</v>
      </c>
      <c r="Y11" s="146">
        <v>3.6352150773760004</v>
      </c>
      <c r="Z11" s="146">
        <v>3.814697265625</v>
      </c>
      <c r="AA11" s="146">
        <v>4.001504141376</v>
      </c>
      <c r="AB11" s="146">
        <v>4.195872914689</v>
      </c>
      <c r="AC11" s="146">
        <v>4.398046511104</v>
      </c>
      <c r="AD11" s="146">
        <v>4.608273662721001</v>
      </c>
      <c r="AE11" s="146">
        <v>4.826809000000002</v>
      </c>
    </row>
    <row r="12" spans="1:31" ht="12.75">
      <c r="A12" s="145">
        <v>7</v>
      </c>
      <c r="B12" s="146">
        <v>1.0721353521070098</v>
      </c>
      <c r="C12" s="146">
        <v>1.1486856676492798</v>
      </c>
      <c r="D12" s="146">
        <v>1.22987386542487</v>
      </c>
      <c r="E12" s="146">
        <v>1.3159317792358403</v>
      </c>
      <c r="F12" s="146">
        <v>1.4071004226562502</v>
      </c>
      <c r="G12" s="146">
        <v>1.5036302589913608</v>
      </c>
      <c r="H12" s="146">
        <v>1.6057814764784302</v>
      </c>
      <c r="I12" s="146">
        <v>1.7138242687795207</v>
      </c>
      <c r="J12" s="146">
        <v>1.8280391208166906</v>
      </c>
      <c r="K12" s="146">
        <v>1.9487171000000012</v>
      </c>
      <c r="L12" s="146">
        <v>2.076160152898711</v>
      </c>
      <c r="M12" s="146">
        <v>2.210681407406081</v>
      </c>
      <c r="N12" s="146">
        <v>2.352605480448168</v>
      </c>
      <c r="O12" s="146">
        <v>2.502268791287042</v>
      </c>
      <c r="P12" s="146">
        <v>2.6600198804687483</v>
      </c>
      <c r="Q12" s="146">
        <v>2.826219734466559</v>
      </c>
      <c r="R12" s="146">
        <v>3.0012421160697285</v>
      </c>
      <c r="S12" s="146">
        <v>3.185473900568319</v>
      </c>
      <c r="T12" s="146">
        <v>3.3793154177843894</v>
      </c>
      <c r="U12" s="146">
        <v>3.5831807999999996</v>
      </c>
      <c r="V12" s="146">
        <v>3.7974983358324095</v>
      </c>
      <c r="W12" s="146">
        <v>4.022710830106879</v>
      </c>
      <c r="X12" s="146">
        <v>4.25927596977747</v>
      </c>
      <c r="Y12" s="146">
        <v>4.507666695946241</v>
      </c>
      <c r="Z12" s="146">
        <v>4.76837158203125</v>
      </c>
      <c r="AA12" s="146">
        <v>5.041895218133761</v>
      </c>
      <c r="AB12" s="146">
        <v>5.3287586016550295</v>
      </c>
      <c r="AC12" s="146">
        <v>5.629499534213121</v>
      </c>
      <c r="AD12" s="146">
        <v>5.944673024910092</v>
      </c>
      <c r="AE12" s="146">
        <v>6.274851700000003</v>
      </c>
    </row>
    <row r="13" spans="1:31" ht="12.75">
      <c r="A13" s="145">
        <v>8</v>
      </c>
      <c r="B13" s="146">
        <v>1.0828567056280802</v>
      </c>
      <c r="C13" s="146">
        <v>1.1716593810022655</v>
      </c>
      <c r="D13" s="146">
        <v>1.266770081387616</v>
      </c>
      <c r="E13" s="146">
        <v>1.368569050405274</v>
      </c>
      <c r="F13" s="146">
        <v>1.4774554437890626</v>
      </c>
      <c r="G13" s="146">
        <v>1.5938480745308423</v>
      </c>
      <c r="H13" s="146">
        <v>1.7181861798319202</v>
      </c>
      <c r="I13" s="146">
        <v>1.8509302102818823</v>
      </c>
      <c r="J13" s="146">
        <v>1.992562641690193</v>
      </c>
      <c r="K13" s="146">
        <v>2.143588810000001</v>
      </c>
      <c r="L13" s="146">
        <v>2.3045377697175695</v>
      </c>
      <c r="M13" s="146">
        <v>2.475963176294811</v>
      </c>
      <c r="N13" s="146">
        <v>2.6584441929064297</v>
      </c>
      <c r="O13" s="146">
        <v>2.8525864220672283</v>
      </c>
      <c r="P13" s="146">
        <v>3.0590228625390603</v>
      </c>
      <c r="Q13" s="146">
        <v>3.2784148919812086</v>
      </c>
      <c r="R13" s="146">
        <v>3.511453275801582</v>
      </c>
      <c r="S13" s="146">
        <v>3.758859202670616</v>
      </c>
      <c r="T13" s="146">
        <v>4.021385347163424</v>
      </c>
      <c r="U13" s="146">
        <v>4.299816959999999</v>
      </c>
      <c r="V13" s="146">
        <v>4.594972986357215</v>
      </c>
      <c r="W13" s="146">
        <v>4.907707212730392</v>
      </c>
      <c r="X13" s="146">
        <v>5.238909442826287</v>
      </c>
      <c r="Y13" s="146">
        <v>5.589506702973338</v>
      </c>
      <c r="Z13" s="146">
        <v>5.9604644775390625</v>
      </c>
      <c r="AA13" s="146">
        <v>6.352787974848539</v>
      </c>
      <c r="AB13" s="146">
        <v>6.767523424101888</v>
      </c>
      <c r="AC13" s="146">
        <v>7.205759403792794</v>
      </c>
      <c r="AD13" s="146">
        <v>7.668628202134019</v>
      </c>
      <c r="AE13" s="146">
        <v>8.157307210000003</v>
      </c>
    </row>
    <row r="14" spans="1:31" ht="12.75">
      <c r="A14" s="145">
        <v>9</v>
      </c>
      <c r="B14" s="146">
        <v>1.093685272684361</v>
      </c>
      <c r="C14" s="146">
        <v>1.1950925686223108</v>
      </c>
      <c r="D14" s="146">
        <v>1.3047731838292445</v>
      </c>
      <c r="E14" s="146">
        <v>1.4233118124214852</v>
      </c>
      <c r="F14" s="146">
        <v>1.5513282159785158</v>
      </c>
      <c r="G14" s="146">
        <v>1.6894789590026928</v>
      </c>
      <c r="H14" s="146">
        <v>1.8384592124201549</v>
      </c>
      <c r="I14" s="146">
        <v>1.999004627104433</v>
      </c>
      <c r="J14" s="146">
        <v>2.1718932794423105</v>
      </c>
      <c r="K14" s="146">
        <v>2.3579476910000015</v>
      </c>
      <c r="L14" s="146">
        <v>2.5580369243865024</v>
      </c>
      <c r="M14" s="146">
        <v>2.7730787574501883</v>
      </c>
      <c r="N14" s="146">
        <v>3.0040419379842653</v>
      </c>
      <c r="O14" s="146">
        <v>3.2519485211566406</v>
      </c>
      <c r="P14" s="146">
        <v>3.517876291919919</v>
      </c>
      <c r="Q14" s="146">
        <v>3.8029612746982018</v>
      </c>
      <c r="R14" s="146">
        <v>4.10840033268785</v>
      </c>
      <c r="S14" s="146">
        <v>4.435453859151327</v>
      </c>
      <c r="T14" s="146">
        <v>4.785448563124474</v>
      </c>
      <c r="U14" s="146">
        <v>5.159780351999999</v>
      </c>
      <c r="V14" s="146">
        <v>5.55991731349223</v>
      </c>
      <c r="W14" s="146">
        <v>5.987402799531078</v>
      </c>
      <c r="X14" s="146">
        <v>6.4438586146763335</v>
      </c>
      <c r="Y14" s="146">
        <v>6.9309883116869395</v>
      </c>
      <c r="Z14" s="146">
        <v>7.450580596923828</v>
      </c>
      <c r="AA14" s="146">
        <v>8.00451284830916</v>
      </c>
      <c r="AB14" s="146">
        <v>8.594754748609397</v>
      </c>
      <c r="AC14" s="146">
        <v>9.223372036854776</v>
      </c>
      <c r="AD14" s="146">
        <v>9.892530380752884</v>
      </c>
      <c r="AE14" s="146">
        <v>10.604499373000003</v>
      </c>
    </row>
    <row r="15" spans="1:31" ht="12.75">
      <c r="A15" s="145">
        <v>10</v>
      </c>
      <c r="B15" s="146">
        <v>1.1046221254112047</v>
      </c>
      <c r="C15" s="146">
        <v>1.218994419994757</v>
      </c>
      <c r="D15" s="146">
        <v>1.3439163793441218</v>
      </c>
      <c r="E15" s="146">
        <v>1.4802442849183446</v>
      </c>
      <c r="F15" s="146">
        <v>1.6288946267774416</v>
      </c>
      <c r="G15" s="146">
        <v>1.7908476965428546</v>
      </c>
      <c r="H15" s="146">
        <v>1.9671513572895656</v>
      </c>
      <c r="I15" s="146">
        <v>2.1589249972727877</v>
      </c>
      <c r="J15" s="146">
        <v>2.3673636745921187</v>
      </c>
      <c r="K15" s="146">
        <v>2.593742460100002</v>
      </c>
      <c r="L15" s="146">
        <v>2.839420986069018</v>
      </c>
      <c r="M15" s="146">
        <v>3.105848208344211</v>
      </c>
      <c r="N15" s="146">
        <v>3.3945673899222193</v>
      </c>
      <c r="O15" s="146">
        <v>3.707221314118571</v>
      </c>
      <c r="P15" s="146">
        <v>4.045557735707907</v>
      </c>
      <c r="Q15" s="146">
        <v>4.411435078649914</v>
      </c>
      <c r="R15" s="146">
        <v>4.806828389244785</v>
      </c>
      <c r="S15" s="146">
        <v>5.233835553798565</v>
      </c>
      <c r="T15" s="146">
        <v>5.694683790118124</v>
      </c>
      <c r="U15" s="146">
        <v>6.191736422399999</v>
      </c>
      <c r="V15" s="146">
        <v>6.7274999493255985</v>
      </c>
      <c r="W15" s="146">
        <v>7.304631415427915</v>
      </c>
      <c r="X15" s="146">
        <v>7.92594609605189</v>
      </c>
      <c r="Y15" s="146">
        <v>8.594425506491806</v>
      </c>
      <c r="Z15" s="146">
        <v>9.313225746154785</v>
      </c>
      <c r="AA15" s="146">
        <v>10.085686188869541</v>
      </c>
      <c r="AB15" s="146">
        <v>10.915338530733935</v>
      </c>
      <c r="AC15" s="146">
        <v>11.805916207174114</v>
      </c>
      <c r="AD15" s="146">
        <v>12.761364191171221</v>
      </c>
      <c r="AE15" s="146">
        <v>13.785849184900005</v>
      </c>
    </row>
    <row r="16" spans="1:31" ht="12.75">
      <c r="A16" s="145">
        <v>11</v>
      </c>
      <c r="B16" s="146">
        <v>1.1156683466653166</v>
      </c>
      <c r="C16" s="146">
        <v>1.243374308394652</v>
      </c>
      <c r="D16" s="146">
        <v>1.3842338707244455</v>
      </c>
      <c r="E16" s="204">
        <v>1.5394540563150783</v>
      </c>
      <c r="F16" s="146">
        <v>1.7103393581163138</v>
      </c>
      <c r="G16" s="146">
        <v>1.8982985583354262</v>
      </c>
      <c r="H16" s="146">
        <v>2.1048519522998355</v>
      </c>
      <c r="I16" s="146">
        <v>2.3316389970546108</v>
      </c>
      <c r="J16" s="146">
        <v>2.5804264053054093</v>
      </c>
      <c r="K16" s="146">
        <v>2.8531167061100025</v>
      </c>
      <c r="L16" s="146">
        <v>3.15175729453661</v>
      </c>
      <c r="M16" s="146">
        <v>3.478549993345517</v>
      </c>
      <c r="N16" s="146">
        <v>3.835861150612107</v>
      </c>
      <c r="O16" s="146">
        <v>4.226232298095171</v>
      </c>
      <c r="P16" s="146">
        <v>4.652391396064092</v>
      </c>
      <c r="Q16" s="146">
        <v>5.1172646912339</v>
      </c>
      <c r="R16" s="146">
        <v>5.623989215416398</v>
      </c>
      <c r="S16" s="146">
        <v>6.175925953482307</v>
      </c>
      <c r="T16" s="146">
        <v>6.776673710240567</v>
      </c>
      <c r="U16" s="146">
        <v>7.430083706879999</v>
      </c>
      <c r="V16" s="146">
        <v>8.140274938683973</v>
      </c>
      <c r="W16" s="146">
        <v>8.911650326822055</v>
      </c>
      <c r="X16" s="146">
        <v>9.748913698143824</v>
      </c>
      <c r="Y16" s="146">
        <v>10.657087628049839</v>
      </c>
      <c r="Z16" s="146">
        <v>11.641532182693481</v>
      </c>
      <c r="AA16" s="146">
        <v>12.707964597975622</v>
      </c>
      <c r="AB16" s="146">
        <v>13.862479934032097</v>
      </c>
      <c r="AC16" s="146">
        <v>15.111572745182869</v>
      </c>
      <c r="AD16" s="146">
        <v>16.462159806610877</v>
      </c>
      <c r="AE16" s="146">
        <v>17.92160394037001</v>
      </c>
    </row>
    <row r="17" spans="1:31" ht="12.75">
      <c r="A17" s="145">
        <v>12</v>
      </c>
      <c r="B17" s="146">
        <v>1.1268250301319698</v>
      </c>
      <c r="C17" s="146">
        <v>1.2682417945625453</v>
      </c>
      <c r="D17" s="146">
        <v>1.4257608868461786</v>
      </c>
      <c r="E17" s="204">
        <v>1.6010322185676817</v>
      </c>
      <c r="F17" s="146">
        <v>1.7958563260221292</v>
      </c>
      <c r="G17" s="146">
        <v>2.012196471835552</v>
      </c>
      <c r="H17" s="146">
        <v>2.2521915889608235</v>
      </c>
      <c r="I17" s="146">
        <v>2.51817011681898</v>
      </c>
      <c r="J17" s="146">
        <v>2.812664781782896</v>
      </c>
      <c r="K17" s="146">
        <v>3.1384283767210026</v>
      </c>
      <c r="L17" s="146">
        <v>3.4984505969356374</v>
      </c>
      <c r="M17" s="146">
        <v>3.895975992546979</v>
      </c>
      <c r="N17" s="146">
        <v>4.334523100191681</v>
      </c>
      <c r="O17" s="146">
        <v>4.817904819828496</v>
      </c>
      <c r="P17" s="146">
        <v>5.350250105473705</v>
      </c>
      <c r="Q17" s="146">
        <v>5.9360270418313235</v>
      </c>
      <c r="R17" s="146">
        <v>6.580067382037185</v>
      </c>
      <c r="S17" s="146">
        <v>7.287592625109121</v>
      </c>
      <c r="T17" s="146">
        <v>8.064241715186276</v>
      </c>
      <c r="U17" s="146">
        <v>8.916100448255998</v>
      </c>
      <c r="V17" s="146">
        <v>9.849732675807607</v>
      </c>
      <c r="W17" s="146">
        <v>10.872213398722907</v>
      </c>
      <c r="X17" s="146">
        <v>11.991163848716903</v>
      </c>
      <c r="Y17" s="146">
        <v>13.214788658781801</v>
      </c>
      <c r="Z17" s="146">
        <v>14.551915228366852</v>
      </c>
      <c r="AA17" s="146">
        <v>16.012035393449285</v>
      </c>
      <c r="AB17" s="146">
        <v>17.605349516220762</v>
      </c>
      <c r="AC17" s="146">
        <v>19.34281311383407</v>
      </c>
      <c r="AD17" s="146">
        <v>21.23618615052803</v>
      </c>
      <c r="AE17" s="146">
        <v>23.298085122481012</v>
      </c>
    </row>
    <row r="18" spans="1:31" ht="12.75">
      <c r="A18" s="145">
        <v>13</v>
      </c>
      <c r="B18" s="146">
        <v>1.1380932804332895</v>
      </c>
      <c r="C18" s="146">
        <v>1.293606630453796</v>
      </c>
      <c r="D18" s="146">
        <v>1.468533713451564</v>
      </c>
      <c r="E18" s="146">
        <v>1.665073507310389</v>
      </c>
      <c r="F18" s="146">
        <v>1.885649142323236</v>
      </c>
      <c r="G18" s="146">
        <v>2.132928260145685</v>
      </c>
      <c r="H18" s="146">
        <v>2.4098450001880813</v>
      </c>
      <c r="I18" s="146">
        <v>2.719623726164498</v>
      </c>
      <c r="J18" s="146">
        <v>3.0658046121433573</v>
      </c>
      <c r="K18" s="146">
        <v>3.452271214393103</v>
      </c>
      <c r="L18" s="146">
        <v>3.883280162598558</v>
      </c>
      <c r="M18" s="146">
        <v>4.363493111652617</v>
      </c>
      <c r="N18" s="146">
        <v>4.898011103216599</v>
      </c>
      <c r="O18" s="146">
        <v>5.492411494604486</v>
      </c>
      <c r="P18" s="146">
        <v>6.152787621294761</v>
      </c>
      <c r="Q18" s="146">
        <v>6.885791368524335</v>
      </c>
      <c r="R18" s="146">
        <v>7.698678836983506</v>
      </c>
      <c r="S18" s="146">
        <v>8.599359297628762</v>
      </c>
      <c r="T18" s="146">
        <v>9.596447641071666</v>
      </c>
      <c r="U18" s="146">
        <v>10.699320537907198</v>
      </c>
      <c r="V18" s="146">
        <v>11.918176537727204</v>
      </c>
      <c r="W18" s="146">
        <v>13.264100346441946</v>
      </c>
      <c r="X18" s="146">
        <v>14.74913153392179</v>
      </c>
      <c r="Y18" s="146">
        <v>16.386337936889433</v>
      </c>
      <c r="Z18" s="146">
        <v>18.189894035458565</v>
      </c>
      <c r="AA18" s="146">
        <v>20.175164595746097</v>
      </c>
      <c r="AB18" s="146">
        <v>22.358793885600367</v>
      </c>
      <c r="AC18" s="146">
        <v>24.75880078570761</v>
      </c>
      <c r="AD18" s="146">
        <v>27.39468013418116</v>
      </c>
      <c r="AE18" s="146">
        <v>30.28751065922532</v>
      </c>
    </row>
    <row r="19" spans="1:31" ht="12.75">
      <c r="A19" s="145">
        <v>14</v>
      </c>
      <c r="B19" s="146">
        <v>1.1494742132376226</v>
      </c>
      <c r="C19" s="146">
        <v>1.3194787630628722</v>
      </c>
      <c r="D19" s="146">
        <v>1.512589724855111</v>
      </c>
      <c r="E19" s="146">
        <v>1.7316764476028046</v>
      </c>
      <c r="F19" s="146">
        <v>1.9799315994393973</v>
      </c>
      <c r="G19" s="146">
        <v>2.260903955754426</v>
      </c>
      <c r="H19" s="146">
        <v>2.578534150201247</v>
      </c>
      <c r="I19" s="146">
        <v>2.9371936242576586</v>
      </c>
      <c r="J19" s="146">
        <v>3.3417270272362596</v>
      </c>
      <c r="K19" s="146">
        <v>3.797498335832414</v>
      </c>
      <c r="L19" s="146">
        <v>4.310440980484399</v>
      </c>
      <c r="M19" s="146">
        <v>4.887112285050931</v>
      </c>
      <c r="N19" s="146">
        <v>5.534752546634755</v>
      </c>
      <c r="O19" s="146">
        <v>6.261349103849114</v>
      </c>
      <c r="P19" s="146">
        <v>7.075705764488975</v>
      </c>
      <c r="Q19" s="146">
        <v>7.9875179874882285</v>
      </c>
      <c r="R19" s="146">
        <v>9.007454239270702</v>
      </c>
      <c r="S19" s="146">
        <v>10.14724397120194</v>
      </c>
      <c r="T19" s="146">
        <v>11.419772692875283</v>
      </c>
      <c r="U19" s="146">
        <v>12.839184645488636</v>
      </c>
      <c r="V19" s="146">
        <v>14.420993610649917</v>
      </c>
      <c r="W19" s="146">
        <v>16.182202422659174</v>
      </c>
      <c r="X19" s="146">
        <v>18.1414317867238</v>
      </c>
      <c r="Y19" s="146">
        <v>20.319059041742896</v>
      </c>
      <c r="Z19" s="146">
        <v>22.737367544323206</v>
      </c>
      <c r="AA19" s="146">
        <v>25.420707390640082</v>
      </c>
      <c r="AB19" s="146">
        <v>28.395668234712467</v>
      </c>
      <c r="AC19" s="146">
        <v>31.691265005705738</v>
      </c>
      <c r="AD19" s="146">
        <v>35.3391373730937</v>
      </c>
      <c r="AE19" s="146">
        <v>39.373763856992916</v>
      </c>
    </row>
    <row r="20" spans="1:31" ht="12.75">
      <c r="A20" s="145">
        <v>15</v>
      </c>
      <c r="B20" s="146">
        <v>1.1609689553699984</v>
      </c>
      <c r="C20" s="146">
        <v>1.3458683383241292</v>
      </c>
      <c r="D20" s="146">
        <v>1.5579674166007644</v>
      </c>
      <c r="E20" s="146">
        <v>1.8009435055069167</v>
      </c>
      <c r="F20" s="146">
        <v>2.078928179411368</v>
      </c>
      <c r="G20" s="146">
        <v>2.3965581930996924</v>
      </c>
      <c r="H20" s="146">
        <v>2.7590315407153345</v>
      </c>
      <c r="I20" s="146">
        <v>3.1721691141982715</v>
      </c>
      <c r="J20" s="146">
        <v>3.642482459687523</v>
      </c>
      <c r="K20" s="146">
        <v>4.177248169415655</v>
      </c>
      <c r="L20" s="146">
        <v>4.784589488337683</v>
      </c>
      <c r="M20" s="146">
        <v>5.473565759257043</v>
      </c>
      <c r="N20" s="146">
        <v>6.2542703776972735</v>
      </c>
      <c r="O20" s="146">
        <v>7.137937978387991</v>
      </c>
      <c r="P20" s="146">
        <v>8.13706162916232</v>
      </c>
      <c r="Q20" s="146">
        <v>9.265520865486344</v>
      </c>
      <c r="R20" s="146">
        <v>10.53872145994672</v>
      </c>
      <c r="S20" s="146">
        <v>11.97374788601829</v>
      </c>
      <c r="T20" s="146">
        <v>13.589529504521588</v>
      </c>
      <c r="U20" s="146">
        <v>15.407021574586365</v>
      </c>
      <c r="V20" s="146">
        <v>17.4494022688864</v>
      </c>
      <c r="W20" s="146">
        <v>19.742286955644193</v>
      </c>
      <c r="X20" s="146">
        <v>22.313961097670276</v>
      </c>
      <c r="Y20" s="146">
        <v>25.195633211761194</v>
      </c>
      <c r="Z20" s="146">
        <v>28.421709430404007</v>
      </c>
      <c r="AA20" s="146">
        <v>32.03009131220651</v>
      </c>
      <c r="AB20" s="146">
        <v>36.062498658084834</v>
      </c>
      <c r="AC20" s="146">
        <v>40.56481920730335</v>
      </c>
      <c r="AD20" s="146">
        <v>45.58748721129088</v>
      </c>
      <c r="AE20" s="146">
        <v>51.185893014090794</v>
      </c>
    </row>
    <row r="21" spans="1:31" ht="12.75">
      <c r="A21" s="145">
        <v>16</v>
      </c>
      <c r="B21" s="146">
        <v>1.1725786449236988</v>
      </c>
      <c r="C21" s="146">
        <v>1.372785705090612</v>
      </c>
      <c r="D21" s="146">
        <v>1.604706439098787</v>
      </c>
      <c r="E21" s="146">
        <v>1.8729812457271937</v>
      </c>
      <c r="F21" s="146">
        <v>2.182874588381936</v>
      </c>
      <c r="G21" s="146">
        <v>2.5403516846856733</v>
      </c>
      <c r="H21" s="146">
        <v>2.9521637485654075</v>
      </c>
      <c r="I21" s="146">
        <v>3.425942643334133</v>
      </c>
      <c r="J21" s="146">
        <v>3.9703058810594003</v>
      </c>
      <c r="K21" s="146">
        <v>4.594972986357221</v>
      </c>
      <c r="L21" s="146">
        <v>5.310894332054829</v>
      </c>
      <c r="M21" s="146">
        <v>6.130393650367889</v>
      </c>
      <c r="N21" s="146">
        <v>7.0673255267979185</v>
      </c>
      <c r="O21" s="146">
        <v>8.137249295362311</v>
      </c>
      <c r="P21" s="146">
        <v>9.357620873536666</v>
      </c>
      <c r="Q21" s="146">
        <v>10.74800420396416</v>
      </c>
      <c r="R21" s="146">
        <v>12.33030410813766</v>
      </c>
      <c r="S21" s="146">
        <v>14.12902250550158</v>
      </c>
      <c r="T21" s="146">
        <v>16.17154011038069</v>
      </c>
      <c r="U21" s="146">
        <v>18.488425889503635</v>
      </c>
      <c r="V21" s="146">
        <v>21.113776745352542</v>
      </c>
      <c r="W21" s="146">
        <v>24.08559008588591</v>
      </c>
      <c r="X21" s="146">
        <v>27.44617215013444</v>
      </c>
      <c r="Y21" s="146">
        <v>31.242585182583877</v>
      </c>
      <c r="Z21" s="146">
        <v>35.52713678800501</v>
      </c>
      <c r="AA21" s="146">
        <v>40.357915053380204</v>
      </c>
      <c r="AB21" s="146">
        <v>45.79937329576774</v>
      </c>
      <c r="AC21" s="146">
        <v>51.922968585348286</v>
      </c>
      <c r="AD21" s="146">
        <v>58.80785850256523</v>
      </c>
      <c r="AE21" s="146">
        <v>66.54166091831803</v>
      </c>
    </row>
    <row r="22" spans="1:31" ht="12.75">
      <c r="A22" s="145">
        <v>17</v>
      </c>
      <c r="B22" s="146">
        <v>1.1843044313729358</v>
      </c>
      <c r="C22" s="146">
        <v>1.4002414191924244</v>
      </c>
      <c r="D22" s="146">
        <v>1.6528476322717507</v>
      </c>
      <c r="E22" s="146">
        <v>1.9479004955562815</v>
      </c>
      <c r="F22" s="146">
        <v>2.292018317801033</v>
      </c>
      <c r="G22" s="146">
        <v>2.692772785766814</v>
      </c>
      <c r="H22" s="146">
        <v>3.158815210964986</v>
      </c>
      <c r="I22" s="146">
        <v>3.700018054800864</v>
      </c>
      <c r="J22" s="146">
        <v>4.327633410354746</v>
      </c>
      <c r="K22" s="146">
        <v>5.054470284992943</v>
      </c>
      <c r="L22" s="146">
        <v>5.895092708580861</v>
      </c>
      <c r="M22" s="146">
        <v>6.866040888412036</v>
      </c>
      <c r="N22" s="146">
        <v>7.986077845281647</v>
      </c>
      <c r="O22" s="146">
        <v>9.276464196713036</v>
      </c>
      <c r="P22" s="146">
        <v>10.761264004567165</v>
      </c>
      <c r="Q22" s="146">
        <v>12.467684876598424</v>
      </c>
      <c r="R22" s="146">
        <v>14.426455806521062</v>
      </c>
      <c r="S22" s="146">
        <v>16.672246556491864</v>
      </c>
      <c r="T22" s="146">
        <v>19.24413273135302</v>
      </c>
      <c r="U22" s="146">
        <v>22.18611106740436</v>
      </c>
      <c r="V22" s="146">
        <v>25.547669861876575</v>
      </c>
      <c r="W22" s="146">
        <v>29.38441990478081</v>
      </c>
      <c r="X22" s="146">
        <v>33.75879174466536</v>
      </c>
      <c r="Y22" s="146">
        <v>38.740805626404004</v>
      </c>
      <c r="Z22" s="146">
        <v>44.40892098500626</v>
      </c>
      <c r="AA22" s="146">
        <v>50.850972967259054</v>
      </c>
      <c r="AB22" s="146">
        <v>58.16520408562503</v>
      </c>
      <c r="AC22" s="146">
        <v>66.4613997892458</v>
      </c>
      <c r="AD22" s="146">
        <v>75.86213746830916</v>
      </c>
      <c r="AE22" s="146">
        <v>86.50415919381344</v>
      </c>
    </row>
    <row r="23" spans="1:31" ht="12.75">
      <c r="A23" s="145">
        <v>18</v>
      </c>
      <c r="B23" s="146">
        <v>1.1961474756866652</v>
      </c>
      <c r="C23" s="146">
        <v>1.4282462475762727</v>
      </c>
      <c r="D23" s="146">
        <v>1.7024330612399032</v>
      </c>
      <c r="E23" s="146">
        <v>2.025816515378533</v>
      </c>
      <c r="F23" s="146">
        <v>2.4066192336910848</v>
      </c>
      <c r="G23" s="146">
        <v>2.854339152912823</v>
      </c>
      <c r="H23" s="146">
        <v>3.379932275732535</v>
      </c>
      <c r="I23" s="146">
        <v>3.9960194991849334</v>
      </c>
      <c r="J23" s="146">
        <v>4.717120417286674</v>
      </c>
      <c r="K23" s="146">
        <v>5.559917313492238</v>
      </c>
      <c r="L23" s="146">
        <v>6.543552906524756</v>
      </c>
      <c r="M23" s="146">
        <v>7.6899657950214815</v>
      </c>
      <c r="N23" s="146">
        <v>9.02426796516826</v>
      </c>
      <c r="O23" s="146">
        <v>10.575169184252863</v>
      </c>
      <c r="P23" s="146">
        <v>12.375453605252238</v>
      </c>
      <c r="Q23" s="146">
        <v>14.462514456854171</v>
      </c>
      <c r="R23" s="146">
        <v>16.878953293629642</v>
      </c>
      <c r="S23" s="146">
        <v>19.6732509366604</v>
      </c>
      <c r="T23" s="146">
        <v>22.900517950310093</v>
      </c>
      <c r="U23" s="146">
        <v>26.623333280885234</v>
      </c>
      <c r="V23" s="146">
        <v>30.912680532870656</v>
      </c>
      <c r="W23" s="146">
        <v>35.84899228383259</v>
      </c>
      <c r="X23" s="146">
        <v>41.52331384593839</v>
      </c>
      <c r="Y23" s="146">
        <v>48.03859897674097</v>
      </c>
      <c r="Z23" s="146">
        <v>55.51115123125783</v>
      </c>
      <c r="AA23" s="146">
        <v>64.07222593874641</v>
      </c>
      <c r="AB23" s="146">
        <v>73.86980918874379</v>
      </c>
      <c r="AC23" s="146">
        <v>85.07059173023464</v>
      </c>
      <c r="AD23" s="146">
        <v>97.8621573341188</v>
      </c>
      <c r="AE23" s="146">
        <v>112.45540695195749</v>
      </c>
    </row>
    <row r="24" spans="1:31" ht="12.75">
      <c r="A24" s="145">
        <v>19</v>
      </c>
      <c r="B24" s="146">
        <v>1.2081089504435316</v>
      </c>
      <c r="C24" s="146">
        <v>1.4568111725277981</v>
      </c>
      <c r="D24" s="146">
        <v>1.7535060530771003</v>
      </c>
      <c r="E24" s="146">
        <v>2.1068491759936743</v>
      </c>
      <c r="F24" s="146">
        <v>2.526950195375639</v>
      </c>
      <c r="G24" s="146">
        <v>3.0255995020875925</v>
      </c>
      <c r="H24" s="146">
        <v>3.616527535033813</v>
      </c>
      <c r="I24" s="146">
        <v>4.3157010591197285</v>
      </c>
      <c r="J24" s="146">
        <v>5.141661254842475</v>
      </c>
      <c r="K24" s="146">
        <v>6.115909044841463</v>
      </c>
      <c r="L24" s="146">
        <v>7.263343726242479</v>
      </c>
      <c r="M24" s="146">
        <v>8.61276169042406</v>
      </c>
      <c r="N24" s="146">
        <v>10.197422800640132</v>
      </c>
      <c r="O24" s="146">
        <v>12.055692870048263</v>
      </c>
      <c r="P24" s="146">
        <v>14.231771646040073</v>
      </c>
      <c r="Q24" s="146">
        <v>16.776516769950838</v>
      </c>
      <c r="R24" s="146">
        <v>19.74837535354668</v>
      </c>
      <c r="S24" s="146">
        <v>23.214436105259267</v>
      </c>
      <c r="T24" s="146">
        <v>27.25161636086901</v>
      </c>
      <c r="U24" s="146">
        <v>31.94799993706228</v>
      </c>
      <c r="V24" s="146">
        <v>37.404343444773495</v>
      </c>
      <c r="W24" s="146">
        <v>43.735770586275756</v>
      </c>
      <c r="X24" s="146">
        <v>51.073676030504224</v>
      </c>
      <c r="Y24" s="146">
        <v>59.567862731158804</v>
      </c>
      <c r="Z24" s="146">
        <v>69.38893903907228</v>
      </c>
      <c r="AA24" s="146">
        <v>80.73100468282048</v>
      </c>
      <c r="AB24" s="146">
        <v>93.8146576697046</v>
      </c>
      <c r="AC24" s="146">
        <v>108.89035741470035</v>
      </c>
      <c r="AD24" s="146">
        <v>126.24218296101327</v>
      </c>
      <c r="AE24" s="146">
        <v>146.19202903754476</v>
      </c>
    </row>
    <row r="25" spans="1:31" ht="12.75">
      <c r="A25" s="145">
        <v>20</v>
      </c>
      <c r="B25" s="146">
        <v>1.220190039947967</v>
      </c>
      <c r="C25" s="146">
        <v>1.4859473959783542</v>
      </c>
      <c r="D25" s="146">
        <v>1.8061112346694133</v>
      </c>
      <c r="E25" s="146">
        <v>2.1911231430334213</v>
      </c>
      <c r="F25" s="146">
        <v>2.653297705144421</v>
      </c>
      <c r="G25" s="146">
        <v>3.207135472212848</v>
      </c>
      <c r="H25" s="146">
        <v>3.8696844624861795</v>
      </c>
      <c r="I25" s="146">
        <v>4.6609571438493065</v>
      </c>
      <c r="J25" s="146">
        <v>5.6044107677782975</v>
      </c>
      <c r="K25" s="146">
        <v>6.727499949325609</v>
      </c>
      <c r="L25" s="146">
        <v>8.062311536129153</v>
      </c>
      <c r="M25" s="146">
        <v>9.646293093274947</v>
      </c>
      <c r="N25" s="146">
        <v>11.523087764723348</v>
      </c>
      <c r="O25" s="146">
        <v>13.743489871855022</v>
      </c>
      <c r="P25" s="146">
        <v>16.366537392946082</v>
      </c>
      <c r="Q25" s="146">
        <v>19.46075945314297</v>
      </c>
      <c r="R25" s="146">
        <v>23.10559916364961</v>
      </c>
      <c r="S25" s="146">
        <v>27.393034604205933</v>
      </c>
      <c r="T25" s="146">
        <v>32.42942346943412</v>
      </c>
      <c r="U25" s="146">
        <v>38.33759992447474</v>
      </c>
      <c r="V25" s="146">
        <v>45.259255568175924</v>
      </c>
      <c r="W25" s="146">
        <v>53.357640115256416</v>
      </c>
      <c r="X25" s="146">
        <v>62.820621517520195</v>
      </c>
      <c r="Y25" s="146">
        <v>73.86414978663691</v>
      </c>
      <c r="Z25" s="146">
        <v>86.73617379884035</v>
      </c>
      <c r="AA25" s="146">
        <v>101.7210659003538</v>
      </c>
      <c r="AB25" s="146">
        <v>119.14461524052484</v>
      </c>
      <c r="AC25" s="146">
        <v>139.3796574908164</v>
      </c>
      <c r="AD25" s="146">
        <v>162.85241601970714</v>
      </c>
      <c r="AE25" s="146">
        <v>190.04963774880815</v>
      </c>
    </row>
    <row r="26" spans="1:31" ht="12.75">
      <c r="A26" s="145">
        <v>21</v>
      </c>
      <c r="B26" s="146">
        <v>1.2323919403474466</v>
      </c>
      <c r="C26" s="146">
        <v>1.5156663438979212</v>
      </c>
      <c r="D26" s="146">
        <v>1.8602945717094954</v>
      </c>
      <c r="E26" s="146">
        <v>2.2787680687547587</v>
      </c>
      <c r="F26" s="146">
        <v>2.785962590401642</v>
      </c>
      <c r="G26" s="146">
        <v>3.3995636005456196</v>
      </c>
      <c r="H26" s="146">
        <v>4.140562374860212</v>
      </c>
      <c r="I26" s="146">
        <v>5.033833715357251</v>
      </c>
      <c r="J26" s="146">
        <v>6.1088077368783456</v>
      </c>
      <c r="K26" s="146">
        <v>7.400249944258171</v>
      </c>
      <c r="L26" s="146">
        <v>8.94916580510336</v>
      </c>
      <c r="M26" s="146">
        <v>10.803848264467941</v>
      </c>
      <c r="N26" s="146">
        <v>13.021089174137382</v>
      </c>
      <c r="O26" s="146">
        <v>15.667578453914727</v>
      </c>
      <c r="P26" s="146">
        <v>18.821518001887995</v>
      </c>
      <c r="Q26" s="146">
        <v>22.574480965645847</v>
      </c>
      <c r="R26" s="146">
        <v>27.033551021470043</v>
      </c>
      <c r="S26" s="146">
        <v>32.323780832962996</v>
      </c>
      <c r="T26" s="146">
        <v>38.5910139286266</v>
      </c>
      <c r="U26" s="146">
        <v>46.00511990936968</v>
      </c>
      <c r="V26" s="146">
        <v>54.763699237492865</v>
      </c>
      <c r="W26" s="146">
        <v>65.09632094061283</v>
      </c>
      <c r="X26" s="146">
        <v>77.26936446654983</v>
      </c>
      <c r="Y26" s="146">
        <v>91.59154573542978</v>
      </c>
      <c r="Z26" s="146">
        <v>108.42021724855044</v>
      </c>
      <c r="AA26" s="146">
        <v>128.1685430344458</v>
      </c>
      <c r="AB26" s="146">
        <v>151.31366135546654</v>
      </c>
      <c r="AC26" s="146">
        <v>178.40596158824502</v>
      </c>
      <c r="AD26" s="146">
        <v>210.0796166654222</v>
      </c>
      <c r="AE26" s="146">
        <v>247.06452907345061</v>
      </c>
    </row>
    <row r="27" spans="1:31" ht="12.75">
      <c r="A27" s="145">
        <v>22</v>
      </c>
      <c r="B27" s="146">
        <v>1.2447158597509214</v>
      </c>
      <c r="C27" s="146">
        <v>1.5459796707758797</v>
      </c>
      <c r="D27" s="146">
        <v>1.9161034088607805</v>
      </c>
      <c r="E27" s="146">
        <v>2.369918791504949</v>
      </c>
      <c r="F27" s="146">
        <v>2.9252607199217238</v>
      </c>
      <c r="G27" s="146">
        <v>3.603537416578357</v>
      </c>
      <c r="H27" s="146">
        <v>4.430401741100427</v>
      </c>
      <c r="I27" s="146">
        <v>5.436540412585832</v>
      </c>
      <c r="J27" s="146">
        <v>6.658600433197397</v>
      </c>
      <c r="K27" s="146">
        <v>8.140274938683989</v>
      </c>
      <c r="L27" s="146">
        <v>9.93357404366473</v>
      </c>
      <c r="M27" s="146">
        <v>12.100310056204096</v>
      </c>
      <c r="N27" s="146">
        <v>14.713830766775239</v>
      </c>
      <c r="O27" s="146">
        <v>17.86103943746279</v>
      </c>
      <c r="P27" s="146">
        <v>21.644745702171193</v>
      </c>
      <c r="Q27" s="146">
        <v>26.186397920149183</v>
      </c>
      <c r="R27" s="146">
        <v>31.62925469511995</v>
      </c>
      <c r="S27" s="146">
        <v>38.14206138289634</v>
      </c>
      <c r="T27" s="146">
        <v>45.92330657506565</v>
      </c>
      <c r="U27" s="146">
        <v>55.20614389124361</v>
      </c>
      <c r="V27" s="146">
        <v>66.26407607736637</v>
      </c>
      <c r="W27" s="146">
        <v>79.41751154754765</v>
      </c>
      <c r="X27" s="146">
        <v>95.04131829385629</v>
      </c>
      <c r="Y27" s="146">
        <v>113.57351671193292</v>
      </c>
      <c r="Z27" s="146">
        <v>135.52527156068805</v>
      </c>
      <c r="AA27" s="146">
        <v>161.49236422340172</v>
      </c>
      <c r="AB27" s="146">
        <v>192.1683499214425</v>
      </c>
      <c r="AC27" s="146">
        <v>228.35963083295363</v>
      </c>
      <c r="AD27" s="146">
        <v>271.0027054983947</v>
      </c>
      <c r="AE27" s="146">
        <v>321.1838877954858</v>
      </c>
    </row>
    <row r="28" spans="1:31" ht="12.75">
      <c r="A28" s="145">
        <v>23</v>
      </c>
      <c r="B28" s="146">
        <v>1.2571630183484304</v>
      </c>
      <c r="C28" s="146">
        <v>1.576899264191397</v>
      </c>
      <c r="D28" s="146">
        <v>1.973586511126604</v>
      </c>
      <c r="E28" s="146">
        <v>2.4647155431651466</v>
      </c>
      <c r="F28" s="146">
        <v>3.0715237559178106</v>
      </c>
      <c r="G28" s="146">
        <v>3.819749661573059</v>
      </c>
      <c r="H28" s="146">
        <v>4.740529862977457</v>
      </c>
      <c r="I28" s="146">
        <v>5.871463645592699</v>
      </c>
      <c r="J28" s="146">
        <v>7.257874472185162</v>
      </c>
      <c r="K28" s="146">
        <v>8.954302432552389</v>
      </c>
      <c r="L28" s="146">
        <v>11.02626718846785</v>
      </c>
      <c r="M28" s="146">
        <v>13.552347262948587</v>
      </c>
      <c r="N28" s="146">
        <v>16.62662876645602</v>
      </c>
      <c r="O28" s="146">
        <v>20.361584958707585</v>
      </c>
      <c r="P28" s="146">
        <v>24.891457557496867</v>
      </c>
      <c r="Q28" s="146">
        <v>30.37622158737305</v>
      </c>
      <c r="R28" s="146">
        <v>37.00622799329034</v>
      </c>
      <c r="S28" s="146">
        <v>45.007632431817676</v>
      </c>
      <c r="T28" s="146">
        <v>54.64873482432813</v>
      </c>
      <c r="U28" s="146">
        <v>66.24737266949234</v>
      </c>
      <c r="V28" s="146">
        <v>80.1795320536133</v>
      </c>
      <c r="W28" s="146">
        <v>96.88936408800814</v>
      </c>
      <c r="X28" s="146">
        <v>116.90082150144325</v>
      </c>
      <c r="Y28" s="146">
        <v>140.83116072279685</v>
      </c>
      <c r="Z28" s="146">
        <v>169.40658945086005</v>
      </c>
      <c r="AA28" s="146">
        <v>203.4803789214862</v>
      </c>
      <c r="AB28" s="146">
        <v>244.053804400232</v>
      </c>
      <c r="AC28" s="146">
        <v>292.3003274661807</v>
      </c>
      <c r="AD28" s="146">
        <v>349.59349009292913</v>
      </c>
      <c r="AE28" s="146">
        <v>417.5390541341316</v>
      </c>
    </row>
    <row r="29" spans="1:31" ht="12.75">
      <c r="A29" s="145">
        <v>24</v>
      </c>
      <c r="B29" s="146">
        <v>1.269734648531915</v>
      </c>
      <c r="C29" s="146">
        <v>1.608437249475225</v>
      </c>
      <c r="D29" s="146">
        <v>2.032794106460402</v>
      </c>
      <c r="E29" s="146">
        <v>2.5633041648917527</v>
      </c>
      <c r="F29" s="146">
        <v>3.2250999437137007</v>
      </c>
      <c r="G29" s="146">
        <v>4.048934641267442</v>
      </c>
      <c r="H29" s="146">
        <v>5.072366953385879</v>
      </c>
      <c r="I29" s="146">
        <v>6.341180737240115</v>
      </c>
      <c r="J29" s="146">
        <v>7.911083174681828</v>
      </c>
      <c r="K29" s="146">
        <v>9.849732675807626</v>
      </c>
      <c r="L29" s="146">
        <v>12.239156579199317</v>
      </c>
      <c r="M29" s="146">
        <v>15.178628934502418</v>
      </c>
      <c r="N29" s="146">
        <v>18.7880905060953</v>
      </c>
      <c r="O29" s="146">
        <v>23.212206852926652</v>
      </c>
      <c r="P29" s="146">
        <v>28.625176191121394</v>
      </c>
      <c r="Q29" s="146">
        <v>35.23641704135274</v>
      </c>
      <c r="R29" s="146">
        <v>43.29728675214969</v>
      </c>
      <c r="S29" s="146">
        <v>53.10900626954486</v>
      </c>
      <c r="T29" s="146">
        <v>65.03199444095048</v>
      </c>
      <c r="U29" s="146">
        <v>79.4968472033908</v>
      </c>
      <c r="V29" s="146">
        <v>97.01723378487209</v>
      </c>
      <c r="W29" s="146">
        <v>118.2050241873699</v>
      </c>
      <c r="X29" s="146">
        <v>143.7880104467752</v>
      </c>
      <c r="Y29" s="146">
        <v>174.63063929626807</v>
      </c>
      <c r="Z29" s="146">
        <v>211.75823681357508</v>
      </c>
      <c r="AA29" s="146">
        <v>256.3852774410726</v>
      </c>
      <c r="AB29" s="146">
        <v>309.94833158829465</v>
      </c>
      <c r="AC29" s="146">
        <v>374.14441915671125</v>
      </c>
      <c r="AD29" s="146">
        <v>450.97560221987857</v>
      </c>
      <c r="AE29" s="146">
        <v>542.800770374371</v>
      </c>
    </row>
    <row r="30" spans="1:31" ht="12.75">
      <c r="A30" s="145">
        <v>25</v>
      </c>
      <c r="B30" s="146">
        <v>1.2824319950172343</v>
      </c>
      <c r="C30" s="146">
        <v>1.6406059944647295</v>
      </c>
      <c r="D30" s="146">
        <v>2.093777929654214</v>
      </c>
      <c r="E30" s="146">
        <v>2.6658363314874234</v>
      </c>
      <c r="F30" s="146">
        <v>3.386354940899386</v>
      </c>
      <c r="G30" s="146">
        <v>4.291870719743488</v>
      </c>
      <c r="H30" s="146">
        <v>5.427432640122891</v>
      </c>
      <c r="I30" s="146">
        <v>6.848475196219325</v>
      </c>
      <c r="J30" s="146">
        <v>8.623080660403193</v>
      </c>
      <c r="K30" s="146">
        <v>10.834705943388391</v>
      </c>
      <c r="L30" s="146">
        <v>13.585463802911244</v>
      </c>
      <c r="M30" s="146">
        <v>17.00006440664271</v>
      </c>
      <c r="N30" s="146">
        <v>21.23054227188769</v>
      </c>
      <c r="O30" s="146">
        <v>26.461915812336382</v>
      </c>
      <c r="P30" s="146">
        <v>32.9189526197896</v>
      </c>
      <c r="Q30" s="146">
        <v>40.87424376796917</v>
      </c>
      <c r="R30" s="146">
        <v>50.65782550001513</v>
      </c>
      <c r="S30" s="146">
        <v>62.66862739806293</v>
      </c>
      <c r="T30" s="146">
        <v>77.38807338473107</v>
      </c>
      <c r="U30" s="146">
        <v>95.39621664406897</v>
      </c>
      <c r="V30" s="146">
        <v>117.39085287969522</v>
      </c>
      <c r="W30" s="146">
        <v>144.21012950859128</v>
      </c>
      <c r="X30" s="146">
        <v>176.85925284953348</v>
      </c>
      <c r="Y30" s="146">
        <v>216.54199272737242</v>
      </c>
      <c r="Z30" s="146">
        <v>264.6977960169689</v>
      </c>
      <c r="AA30" s="146">
        <v>323.0454495757515</v>
      </c>
      <c r="AB30" s="146">
        <v>393.6343811171341</v>
      </c>
      <c r="AC30" s="146">
        <v>478.9048565205904</v>
      </c>
      <c r="AD30" s="146">
        <v>581.7585268636434</v>
      </c>
      <c r="AE30" s="146">
        <v>705.6410014866824</v>
      </c>
    </row>
    <row r="31" spans="1:31" ht="12.75">
      <c r="A31" s="145">
        <v>26</v>
      </c>
      <c r="B31" s="146">
        <v>1.2952563149674066</v>
      </c>
      <c r="C31" s="146">
        <v>1.6734181143540243</v>
      </c>
      <c r="D31" s="146">
        <v>2.1565912675438406</v>
      </c>
      <c r="E31" s="146">
        <v>2.77246978474692</v>
      </c>
      <c r="F31" s="146">
        <v>3.555672687944355</v>
      </c>
      <c r="G31" s="146">
        <v>4.549382962928098</v>
      </c>
      <c r="H31" s="146">
        <v>5.807352924931493</v>
      </c>
      <c r="I31" s="146">
        <v>7.39635321191687</v>
      </c>
      <c r="J31" s="146">
        <v>9.399157919839482</v>
      </c>
      <c r="K31" s="146">
        <v>11.91817653772723</v>
      </c>
      <c r="L31" s="146">
        <v>15.079864821231482</v>
      </c>
      <c r="M31" s="146">
        <v>19.040072135439836</v>
      </c>
      <c r="N31" s="146">
        <v>23.990512767233085</v>
      </c>
      <c r="O31" s="146">
        <v>30.166584026063482</v>
      </c>
      <c r="P31" s="146">
        <v>37.85679551275804</v>
      </c>
      <c r="Q31" s="146">
        <v>47.41412277084424</v>
      </c>
      <c r="R31" s="146">
        <v>59.26965583501771</v>
      </c>
      <c r="S31" s="146">
        <v>73.94898032971425</v>
      </c>
      <c r="T31" s="146">
        <v>92.09180732782997</v>
      </c>
      <c r="U31" s="146">
        <v>114.47545997288276</v>
      </c>
      <c r="V31" s="146">
        <v>142.04293198443122</v>
      </c>
      <c r="W31" s="146">
        <v>175.93635800048136</v>
      </c>
      <c r="X31" s="146">
        <v>217.53688100492616</v>
      </c>
      <c r="Y31" s="146">
        <v>268.5120709819418</v>
      </c>
      <c r="Z31" s="146">
        <v>330.8722450212111</v>
      </c>
      <c r="AA31" s="146">
        <v>407.03726646544686</v>
      </c>
      <c r="AB31" s="146">
        <v>499.9156640187604</v>
      </c>
      <c r="AC31" s="146">
        <v>612.9982163463558</v>
      </c>
      <c r="AD31" s="146">
        <v>750.4684996541</v>
      </c>
      <c r="AE31" s="146">
        <v>917.3333019326872</v>
      </c>
    </row>
    <row r="32" spans="1:31" ht="12.75">
      <c r="A32" s="145">
        <v>27</v>
      </c>
      <c r="B32" s="146">
        <v>1.3082088781170802</v>
      </c>
      <c r="C32" s="146">
        <v>1.7068864766411045</v>
      </c>
      <c r="D32" s="146">
        <v>2.2212890055701555</v>
      </c>
      <c r="E32" s="146">
        <v>2.883368576136797</v>
      </c>
      <c r="F32" s="146">
        <v>3.7334563223415733</v>
      </c>
      <c r="G32" s="146">
        <v>4.8223459407037845</v>
      </c>
      <c r="H32" s="146">
        <v>6.213867629676699</v>
      </c>
      <c r="I32" s="146">
        <v>7.98806146887022</v>
      </c>
      <c r="J32" s="146">
        <v>10.245082132625035</v>
      </c>
      <c r="K32" s="146">
        <v>13.109994191499956</v>
      </c>
      <c r="L32" s="146">
        <v>16.738649951566945</v>
      </c>
      <c r="M32" s="146">
        <v>21.32488079169262</v>
      </c>
      <c r="N32" s="146">
        <v>27.10927942697338</v>
      </c>
      <c r="O32" s="146">
        <v>34.38990578971237</v>
      </c>
      <c r="P32" s="146">
        <v>43.53531483967174</v>
      </c>
      <c r="Q32" s="146">
        <v>55.00038241417931</v>
      </c>
      <c r="R32" s="146">
        <v>69.34549732697072</v>
      </c>
      <c r="S32" s="146">
        <v>87.25979678906282</v>
      </c>
      <c r="T32" s="146">
        <v>109.58925072011766</v>
      </c>
      <c r="U32" s="146">
        <v>137.3705519674593</v>
      </c>
      <c r="V32" s="146">
        <v>171.87194770116176</v>
      </c>
      <c r="W32" s="146">
        <v>214.64235676058723</v>
      </c>
      <c r="X32" s="146">
        <v>267.57036363605914</v>
      </c>
      <c r="Y32" s="146">
        <v>332.9549680176078</v>
      </c>
      <c r="Z32" s="146">
        <v>413.59030627651384</v>
      </c>
      <c r="AA32" s="146">
        <v>512.8669557464631</v>
      </c>
      <c r="AB32" s="146">
        <v>634.8928933038256</v>
      </c>
      <c r="AC32" s="146">
        <v>784.6377169233355</v>
      </c>
      <c r="AD32" s="146">
        <v>968.1043645537891</v>
      </c>
      <c r="AE32" s="146">
        <v>1192.5332925124935</v>
      </c>
    </row>
    <row r="33" spans="1:31" ht="12.75">
      <c r="A33" s="145">
        <v>28</v>
      </c>
      <c r="B33" s="146">
        <v>1.321290966898251</v>
      </c>
      <c r="C33" s="146">
        <v>1.741024206173927</v>
      </c>
      <c r="D33" s="146">
        <v>2.28792767573726</v>
      </c>
      <c r="E33" s="146">
        <v>2.9987033191822694</v>
      </c>
      <c r="F33" s="146">
        <v>3.9201291384586514</v>
      </c>
      <c r="G33" s="146">
        <v>5.111686697146012</v>
      </c>
      <c r="H33" s="146">
        <v>6.6488383637540664</v>
      </c>
      <c r="I33" s="146">
        <v>8.627106386379838</v>
      </c>
      <c r="J33" s="146">
        <v>11.167139524561287</v>
      </c>
      <c r="K33" s="146">
        <v>14.420993610649951</v>
      </c>
      <c r="L33" s="146">
        <v>18.57990144623931</v>
      </c>
      <c r="M33" s="146">
        <v>23.883866486695734</v>
      </c>
      <c r="N33" s="146">
        <v>30.633485752479917</v>
      </c>
      <c r="O33" s="146">
        <v>39.20449260027211</v>
      </c>
      <c r="P33" s="146">
        <v>50.065612065622496</v>
      </c>
      <c r="Q33" s="146">
        <v>63.800443600448</v>
      </c>
      <c r="R33" s="146">
        <v>81.13423187255572</v>
      </c>
      <c r="S33" s="146">
        <v>102.9665602110941</v>
      </c>
      <c r="T33" s="146">
        <v>130.41120835694002</v>
      </c>
      <c r="U33" s="146">
        <v>164.84466236095116</v>
      </c>
      <c r="V33" s="146">
        <v>207.96505671840572</v>
      </c>
      <c r="W33" s="146">
        <v>261.86367524791643</v>
      </c>
      <c r="X33" s="146">
        <v>329.11154727235277</v>
      </c>
      <c r="Y33" s="146">
        <v>412.8641603418338</v>
      </c>
      <c r="Z33" s="146">
        <v>516.9878828456423</v>
      </c>
      <c r="AA33" s="146">
        <v>646.2123642405435</v>
      </c>
      <c r="AB33" s="146">
        <v>806.3139744958586</v>
      </c>
      <c r="AC33" s="146">
        <v>1004.3362776618692</v>
      </c>
      <c r="AD33" s="146">
        <v>1248.8546302743878</v>
      </c>
      <c r="AE33" s="146">
        <v>1550.2932802662415</v>
      </c>
    </row>
    <row r="34" spans="1:31" ht="12.75">
      <c r="A34" s="145">
        <v>29</v>
      </c>
      <c r="B34" s="146">
        <v>1.3345038765672337</v>
      </c>
      <c r="C34" s="146">
        <v>1.7758446902974052</v>
      </c>
      <c r="D34" s="146">
        <v>2.3565655060093778</v>
      </c>
      <c r="E34" s="146">
        <v>3.1186514519495603</v>
      </c>
      <c r="F34" s="146">
        <v>4.116135595381585</v>
      </c>
      <c r="G34" s="146">
        <v>5.418387898974773</v>
      </c>
      <c r="H34" s="146">
        <v>7.114257049216851</v>
      </c>
      <c r="I34" s="146">
        <v>9.317274897290226</v>
      </c>
      <c r="J34" s="146">
        <v>12.172182081771805</v>
      </c>
      <c r="K34" s="146">
        <v>15.863092971714947</v>
      </c>
      <c r="L34" s="146">
        <v>20.623690605325635</v>
      </c>
      <c r="M34" s="146">
        <v>26.749930465099226</v>
      </c>
      <c r="N34" s="146">
        <v>34.61583890030231</v>
      </c>
      <c r="O34" s="146">
        <v>44.69312156431021</v>
      </c>
      <c r="P34" s="146">
        <v>57.57545387546587</v>
      </c>
      <c r="Q34" s="146">
        <v>74.00851457651967</v>
      </c>
      <c r="R34" s="146">
        <v>94.92705129089019</v>
      </c>
      <c r="S34" s="146">
        <v>121.50054104909104</v>
      </c>
      <c r="T34" s="146">
        <v>155.1893379447586</v>
      </c>
      <c r="U34" s="146">
        <v>197.8135948331414</v>
      </c>
      <c r="V34" s="146">
        <v>251.63771862927092</v>
      </c>
      <c r="W34" s="146">
        <v>319.473683802458</v>
      </c>
      <c r="X34" s="146">
        <v>404.80720314499393</v>
      </c>
      <c r="Y34" s="146">
        <v>511.9515588238738</v>
      </c>
      <c r="Z34" s="146">
        <v>646.2348535570528</v>
      </c>
      <c r="AA34" s="146">
        <v>814.2275789430847</v>
      </c>
      <c r="AB34" s="146">
        <v>1024.0187476097403</v>
      </c>
      <c r="AC34" s="146">
        <v>1285.5504354071927</v>
      </c>
      <c r="AD34" s="146">
        <v>1611.0224730539605</v>
      </c>
      <c r="AE34" s="146">
        <v>2015.3812643461142</v>
      </c>
    </row>
    <row r="35" spans="1:31" ht="12.75">
      <c r="A35" s="145">
        <v>30</v>
      </c>
      <c r="B35" s="146">
        <v>1.3478489153329063</v>
      </c>
      <c r="C35" s="146">
        <v>1.8113615841033535</v>
      </c>
      <c r="D35" s="146">
        <v>2.427262471189659</v>
      </c>
      <c r="E35" s="146">
        <v>3.2433975100275423</v>
      </c>
      <c r="F35" s="146">
        <v>4.3219423751506625</v>
      </c>
      <c r="G35" s="146">
        <v>5.743491172913259</v>
      </c>
      <c r="H35" s="146">
        <v>7.612255042662031</v>
      </c>
      <c r="I35" s="146">
        <v>10.062656889073445</v>
      </c>
      <c r="J35" s="146">
        <v>13.267678469131269</v>
      </c>
      <c r="K35" s="146">
        <v>17.449402268886445</v>
      </c>
      <c r="L35" s="146">
        <v>22.892296571911455</v>
      </c>
      <c r="M35" s="146">
        <v>29.959922120911134</v>
      </c>
      <c r="N35" s="146">
        <v>39.115897957341595</v>
      </c>
      <c r="O35" s="146">
        <v>50.950158583313645</v>
      </c>
      <c r="P35" s="146">
        <v>66.21177195678575</v>
      </c>
      <c r="Q35" s="146">
        <v>85.84987690876282</v>
      </c>
      <c r="R35" s="146">
        <v>111.06465001034152</v>
      </c>
      <c r="S35" s="146">
        <v>143.37063843792743</v>
      </c>
      <c r="T35" s="146">
        <v>184.67531215426274</v>
      </c>
      <c r="U35" s="146">
        <v>237.37631379976966</v>
      </c>
      <c r="V35" s="146">
        <v>304.4816395414178</v>
      </c>
      <c r="W35" s="146">
        <v>389.75789423899874</v>
      </c>
      <c r="X35" s="146">
        <v>497.9128598683424</v>
      </c>
      <c r="Y35" s="146">
        <v>634.8199329416036</v>
      </c>
      <c r="Z35" s="146">
        <v>807.7935669463161</v>
      </c>
      <c r="AA35" s="146">
        <v>1025.9267494682867</v>
      </c>
      <c r="AB35" s="146">
        <v>1300.5038094643703</v>
      </c>
      <c r="AC35" s="146">
        <v>1645.5045573212064</v>
      </c>
      <c r="AD35" s="146">
        <v>2078.218990239609</v>
      </c>
      <c r="AE35" s="146">
        <v>2619.9956436499483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0.625" style="0" bestFit="1" customWidth="1"/>
    <col min="2" max="13" width="6.625" style="0" bestFit="1" customWidth="1"/>
    <col min="14" max="14" width="7.625" style="0" bestFit="1" customWidth="1"/>
    <col min="15" max="31" width="6.625" style="0" bestFit="1" customWidth="1"/>
  </cols>
  <sheetData>
    <row r="1" spans="1:2" ht="12.75">
      <c r="A1" t="s">
        <v>44</v>
      </c>
      <c r="B1">
        <v>1</v>
      </c>
    </row>
    <row r="2" spans="1:2" ht="12.75">
      <c r="A2" t="s">
        <v>147</v>
      </c>
      <c r="B2">
        <v>0.01</v>
      </c>
    </row>
    <row r="3" spans="1:2" ht="12.75">
      <c r="A3" t="s">
        <v>46</v>
      </c>
      <c r="B3">
        <v>1</v>
      </c>
    </row>
    <row r="4" spans="1:2" ht="12.75">
      <c r="A4" t="s">
        <v>149</v>
      </c>
      <c r="B4">
        <f>$B$1/(1+B2)^B3</f>
        <v>0.9900990099009901</v>
      </c>
    </row>
    <row r="5" spans="1:31" ht="12.75">
      <c r="A5" s="144">
        <f>B4</f>
        <v>0.9900990099009901</v>
      </c>
      <c r="B5" s="153">
        <v>0.01</v>
      </c>
      <c r="C5" s="153">
        <v>0.02</v>
      </c>
      <c r="D5" s="153">
        <v>0.03</v>
      </c>
      <c r="E5" s="153">
        <v>0.04</v>
      </c>
      <c r="F5" s="153">
        <v>0.05</v>
      </c>
      <c r="G5" s="153">
        <v>0.06</v>
      </c>
      <c r="H5" s="153">
        <v>0.07</v>
      </c>
      <c r="I5" s="153">
        <v>0.08</v>
      </c>
      <c r="J5" s="153">
        <v>0.09</v>
      </c>
      <c r="K5" s="153">
        <v>0.1</v>
      </c>
      <c r="L5" s="153">
        <v>0.11</v>
      </c>
      <c r="M5" s="153">
        <v>0.12</v>
      </c>
      <c r="N5" s="153">
        <v>0.13</v>
      </c>
      <c r="O5" s="153">
        <v>0.14</v>
      </c>
      <c r="P5" s="153">
        <v>0.15</v>
      </c>
      <c r="Q5" s="153">
        <v>0.16</v>
      </c>
      <c r="R5" s="153">
        <v>0.17</v>
      </c>
      <c r="S5" s="153">
        <v>0.18</v>
      </c>
      <c r="T5" s="153">
        <v>0.19</v>
      </c>
      <c r="U5" s="153">
        <v>0.2</v>
      </c>
      <c r="V5" s="153">
        <v>0.21</v>
      </c>
      <c r="W5" s="153">
        <v>0.22</v>
      </c>
      <c r="X5" s="153">
        <v>0.23</v>
      </c>
      <c r="Y5" s="153">
        <v>0.24</v>
      </c>
      <c r="Z5" s="153">
        <v>0.25</v>
      </c>
      <c r="AA5" s="153">
        <v>0.26</v>
      </c>
      <c r="AB5" s="153">
        <v>0.27</v>
      </c>
      <c r="AC5" s="153">
        <v>0.28</v>
      </c>
      <c r="AD5" s="153">
        <v>0.29</v>
      </c>
      <c r="AE5" s="153">
        <v>0.3</v>
      </c>
    </row>
    <row r="6" spans="1:31" ht="12.75">
      <c r="A6" s="145">
        <v>1</v>
      </c>
      <c r="B6" s="146">
        <v>0.9900990099009901</v>
      </c>
      <c r="C6" s="146">
        <v>0.9803921568627451</v>
      </c>
      <c r="D6" s="146">
        <v>0.970873786407767</v>
      </c>
      <c r="E6" s="146">
        <v>0.9615384615384615</v>
      </c>
      <c r="F6" s="146">
        <v>0.9523809523809523</v>
      </c>
      <c r="G6" s="146">
        <v>0.9433962264150942</v>
      </c>
      <c r="H6" s="146">
        <v>0.9345794392523364</v>
      </c>
      <c r="I6" s="204">
        <v>0.9259259259259258</v>
      </c>
      <c r="J6" s="204">
        <v>0.9174311926605504</v>
      </c>
      <c r="K6" s="146">
        <v>0.9090909090909091</v>
      </c>
      <c r="L6" s="146">
        <v>0.9009009009009008</v>
      </c>
      <c r="M6" s="146">
        <v>0.8928571428571428</v>
      </c>
      <c r="N6" s="146">
        <v>0.8849557522123894</v>
      </c>
      <c r="O6" s="146">
        <v>0.8771929824561403</v>
      </c>
      <c r="P6" s="146">
        <v>0.8695652173913044</v>
      </c>
      <c r="Q6" s="146">
        <v>0.8620689655172414</v>
      </c>
      <c r="R6" s="146">
        <v>0.8547008547008548</v>
      </c>
      <c r="S6" s="146">
        <v>0.8474576271186441</v>
      </c>
      <c r="T6" s="146">
        <v>0.8403361344537815</v>
      </c>
      <c r="U6" s="146">
        <v>0.8333333333333334</v>
      </c>
      <c r="V6" s="146">
        <v>0.8264462809917356</v>
      </c>
      <c r="W6" s="146">
        <v>0.819672131147541</v>
      </c>
      <c r="X6" s="146">
        <v>0.8130081300813008</v>
      </c>
      <c r="Y6" s="146">
        <v>0.8064516129032259</v>
      </c>
      <c r="Z6" s="146">
        <v>0.8</v>
      </c>
      <c r="AA6" s="146">
        <v>0.7936507936507936</v>
      </c>
      <c r="AB6" s="146">
        <v>0.7874015748031495</v>
      </c>
      <c r="AC6" s="146">
        <v>0.78125</v>
      </c>
      <c r="AD6" s="146">
        <v>0.7751937984496123</v>
      </c>
      <c r="AE6" s="146">
        <v>0.7692307692307692</v>
      </c>
    </row>
    <row r="7" spans="1:31" ht="12.75">
      <c r="A7" s="145">
        <v>2</v>
      </c>
      <c r="B7" s="146">
        <v>0.9802960494069208</v>
      </c>
      <c r="C7" s="146">
        <v>0.9611687812379854</v>
      </c>
      <c r="D7" s="146">
        <v>0.9425959091337544</v>
      </c>
      <c r="E7" s="146">
        <v>0.9245562130177514</v>
      </c>
      <c r="F7" s="146">
        <v>0.9070294784580498</v>
      </c>
      <c r="G7" s="146">
        <v>0.8899964400142398</v>
      </c>
      <c r="H7" s="146">
        <v>0.8734387282732116</v>
      </c>
      <c r="I7" s="204">
        <v>0.8573388203017832</v>
      </c>
      <c r="J7" s="204">
        <v>0.84167999326656</v>
      </c>
      <c r="K7" s="146">
        <v>0.8264462809917354</v>
      </c>
      <c r="L7" s="146">
        <v>0.8116224332440547</v>
      </c>
      <c r="M7" s="204">
        <v>0.7971938775510203</v>
      </c>
      <c r="N7" s="146">
        <v>0.7831466833737961</v>
      </c>
      <c r="O7" s="146">
        <v>0.7694675284702984</v>
      </c>
      <c r="P7" s="146">
        <v>0.7561436672967865</v>
      </c>
      <c r="Q7" s="146">
        <v>0.7431629013079668</v>
      </c>
      <c r="R7" s="146">
        <v>0.7305135510263716</v>
      </c>
      <c r="S7" s="146">
        <v>0.7181844297615628</v>
      </c>
      <c r="T7" s="146">
        <v>0.706164818868724</v>
      </c>
      <c r="U7" s="146">
        <v>0.6944444444444444</v>
      </c>
      <c r="V7" s="146">
        <v>0.6830134553650707</v>
      </c>
      <c r="W7" s="146">
        <v>0.6718624025799517</v>
      </c>
      <c r="X7" s="146">
        <v>0.6609822195782934</v>
      </c>
      <c r="Y7" s="146">
        <v>0.6503642039542143</v>
      </c>
      <c r="Z7" s="146">
        <v>0.64</v>
      </c>
      <c r="AA7" s="146">
        <v>0.6298815822625345</v>
      </c>
      <c r="AB7" s="146">
        <v>0.62000124000248</v>
      </c>
      <c r="AC7" s="146">
        <v>0.6103515625</v>
      </c>
      <c r="AD7" s="146">
        <v>0.6009254251547382</v>
      </c>
      <c r="AE7" s="146">
        <v>0.5917159763313609</v>
      </c>
    </row>
    <row r="8" spans="1:31" ht="12.75">
      <c r="A8" s="145">
        <v>3</v>
      </c>
      <c r="B8" s="146">
        <v>0.9705901479276445</v>
      </c>
      <c r="C8" s="146">
        <v>0.9423223345470446</v>
      </c>
      <c r="D8" s="146">
        <v>0.9151416593531596</v>
      </c>
      <c r="E8" s="146">
        <v>0.8889963586709149</v>
      </c>
      <c r="F8" s="146">
        <v>0.863837598531476</v>
      </c>
      <c r="G8" s="146">
        <v>0.8396192830323016</v>
      </c>
      <c r="H8" s="146">
        <v>0.8162978768908519</v>
      </c>
      <c r="I8" s="204">
        <v>0.7938322410201696</v>
      </c>
      <c r="J8" s="204">
        <v>0.7721834800610642</v>
      </c>
      <c r="K8" s="146">
        <v>0.7513148009015775</v>
      </c>
      <c r="L8" s="146">
        <v>0.7311913813009502</v>
      </c>
      <c r="M8" s="146">
        <v>0.7117802478134109</v>
      </c>
      <c r="N8" s="146">
        <v>0.6930501622776958</v>
      </c>
      <c r="O8" s="146">
        <v>0.6749715162020161</v>
      </c>
      <c r="P8" s="146">
        <v>0.6575162324319883</v>
      </c>
      <c r="Q8" s="146">
        <v>0.6406576735413507</v>
      </c>
      <c r="R8" s="146">
        <v>0.6243705564327963</v>
      </c>
      <c r="S8" s="146">
        <v>0.6086308726792905</v>
      </c>
      <c r="T8" s="146">
        <v>0.5934158141753983</v>
      </c>
      <c r="U8" s="146">
        <v>0.5787037037037037</v>
      </c>
      <c r="V8" s="146">
        <v>0.5644739300537774</v>
      </c>
      <c r="W8" s="146">
        <v>0.5507068873606161</v>
      </c>
      <c r="X8" s="146">
        <v>0.5373839183563361</v>
      </c>
      <c r="Y8" s="146">
        <v>0.5244872612533986</v>
      </c>
      <c r="Z8" s="146">
        <v>0.512</v>
      </c>
      <c r="AA8" s="146">
        <v>0.49990601766867826</v>
      </c>
      <c r="AB8" s="146">
        <v>0.4881899527578583</v>
      </c>
      <c r="AC8" s="146">
        <v>0.476837158203125</v>
      </c>
      <c r="AD8" s="146">
        <v>0.46583366291064976</v>
      </c>
      <c r="AE8" s="146">
        <v>0.4551661356395083</v>
      </c>
    </row>
    <row r="9" spans="1:31" ht="12.75">
      <c r="A9" s="145">
        <v>4</v>
      </c>
      <c r="B9" s="146">
        <v>0.9609803444828162</v>
      </c>
      <c r="C9" s="146">
        <v>0.9238454260265142</v>
      </c>
      <c r="D9" s="146">
        <v>0.888487047915689</v>
      </c>
      <c r="E9" s="146">
        <v>0.8548041910297257</v>
      </c>
      <c r="F9" s="146">
        <v>0.822702474791882</v>
      </c>
      <c r="G9" s="204">
        <v>0.7920936632380204</v>
      </c>
      <c r="H9" s="146">
        <v>0.7628952120475252</v>
      </c>
      <c r="I9" s="204">
        <v>0.7350298527964533</v>
      </c>
      <c r="J9" s="146">
        <v>0.7084252110651964</v>
      </c>
      <c r="K9" s="146">
        <v>0.6830134553650705</v>
      </c>
      <c r="L9" s="146">
        <v>0.6587309741450001</v>
      </c>
      <c r="M9" s="146">
        <v>0.6355180784048312</v>
      </c>
      <c r="N9" s="146">
        <v>0.6133187276793768</v>
      </c>
      <c r="O9" s="146">
        <v>0.5920802773701894</v>
      </c>
      <c r="P9" s="146">
        <v>0.5717532455930334</v>
      </c>
      <c r="Q9" s="146">
        <v>0.5522910978804747</v>
      </c>
      <c r="R9" s="146">
        <v>0.5336500482331593</v>
      </c>
      <c r="S9" s="146">
        <v>0.5157888751519412</v>
      </c>
      <c r="T9" s="146">
        <v>0.4986687514078978</v>
      </c>
      <c r="U9" s="146">
        <v>0.4822530864197531</v>
      </c>
      <c r="V9" s="146">
        <v>0.4665073802097335</v>
      </c>
      <c r="W9" s="146">
        <v>0.45139908800050504</v>
      </c>
      <c r="X9" s="146">
        <v>0.43689749459864724</v>
      </c>
      <c r="Y9" s="146">
        <v>0.4229735977849989</v>
      </c>
      <c r="Z9" s="146">
        <v>0.4096</v>
      </c>
      <c r="AA9" s="146">
        <v>0.39675080767355414</v>
      </c>
      <c r="AB9" s="146">
        <v>0.3844015376046128</v>
      </c>
      <c r="AC9" s="146">
        <v>0.3725290298461914</v>
      </c>
      <c r="AD9" s="146">
        <v>0.36111136659740295</v>
      </c>
      <c r="AE9" s="146">
        <v>0.35012779664577565</v>
      </c>
    </row>
    <row r="10" spans="1:31" ht="12.75">
      <c r="A10" s="145">
        <v>5</v>
      </c>
      <c r="B10" s="146">
        <v>0.9514656876067489</v>
      </c>
      <c r="C10" s="146">
        <v>0.9057308098299159</v>
      </c>
      <c r="D10" s="146">
        <v>0.8626087843841641</v>
      </c>
      <c r="E10" s="146">
        <v>0.8219271067593515</v>
      </c>
      <c r="F10" s="146">
        <v>0.783526166468459</v>
      </c>
      <c r="G10" s="146">
        <v>0.7472581728660569</v>
      </c>
      <c r="H10" s="146">
        <v>0.7129861794836684</v>
      </c>
      <c r="I10" s="146">
        <v>0.680583197033753</v>
      </c>
      <c r="J10" s="146">
        <v>0.6499313862983452</v>
      </c>
      <c r="K10" s="146">
        <v>0.6209213230591549</v>
      </c>
      <c r="L10" s="146">
        <v>0.5934513280585586</v>
      </c>
      <c r="M10" s="146">
        <v>0.5674268557185992</v>
      </c>
      <c r="N10" s="146">
        <v>0.5427599359994486</v>
      </c>
      <c r="O10" s="146">
        <v>0.5193686643598152</v>
      </c>
      <c r="P10" s="146">
        <v>0.4971767352982899</v>
      </c>
      <c r="Q10" s="146">
        <v>0.47611301541420237</v>
      </c>
      <c r="R10" s="146">
        <v>0.4561111523360336</v>
      </c>
      <c r="S10" s="146">
        <v>0.43710921623045873</v>
      </c>
      <c r="T10" s="146">
        <v>0.4190493709310065</v>
      </c>
      <c r="U10" s="146">
        <v>0.4018775720164609</v>
      </c>
      <c r="V10" s="146">
        <v>0.3855432894295318</v>
      </c>
      <c r="W10" s="146">
        <v>0.3699992524594304</v>
      </c>
      <c r="X10" s="146">
        <v>0.3552012151208514</v>
      </c>
      <c r="Y10" s="146">
        <v>0.34110774014919265</v>
      </c>
      <c r="Z10" s="146">
        <v>0.32768</v>
      </c>
      <c r="AA10" s="146">
        <v>0.3148815933917096</v>
      </c>
      <c r="AB10" s="146">
        <v>0.3026783760666243</v>
      </c>
      <c r="AC10" s="146">
        <v>0.29103830456733704</v>
      </c>
      <c r="AD10" s="146">
        <v>0.2799312919359712</v>
      </c>
      <c r="AE10" s="146">
        <v>0.2693290743429043</v>
      </c>
    </row>
    <row r="11" spans="1:31" ht="12.75">
      <c r="A11" s="145">
        <v>6</v>
      </c>
      <c r="B11" s="146">
        <v>0.9420452352542066</v>
      </c>
      <c r="C11" s="146">
        <v>0.887971382186192</v>
      </c>
      <c r="D11" s="146">
        <v>0.8374842566836544</v>
      </c>
      <c r="E11" s="146">
        <v>0.7903145257301457</v>
      </c>
      <c r="F11" s="146">
        <v>0.7462153966366276</v>
      </c>
      <c r="G11" s="146">
        <v>0.7049605404396763</v>
      </c>
      <c r="H11" s="146">
        <v>0.6663422238165125</v>
      </c>
      <c r="I11" s="146">
        <v>0.6301696268831045</v>
      </c>
      <c r="J11" s="146">
        <v>0.5962673268792158</v>
      </c>
      <c r="K11" s="146">
        <v>0.5644739300537772</v>
      </c>
      <c r="L11" s="146">
        <v>0.5346408360887915</v>
      </c>
      <c r="M11" s="146">
        <v>0.5066311211773207</v>
      </c>
      <c r="N11" s="146">
        <v>0.48031852743314046</v>
      </c>
      <c r="O11" s="146">
        <v>0.45558654768404844</v>
      </c>
      <c r="P11" s="146">
        <v>0.43232759591155645</v>
      </c>
      <c r="Q11" s="146">
        <v>0.41044225466741585</v>
      </c>
      <c r="R11" s="146">
        <v>0.3898385917401997</v>
      </c>
      <c r="S11" s="146">
        <v>0.3704315391783548</v>
      </c>
      <c r="T11" s="146">
        <v>0.3521423285134509</v>
      </c>
      <c r="U11" s="146">
        <v>0.3348979766803841</v>
      </c>
      <c r="V11" s="146">
        <v>0.31863081771035684</v>
      </c>
      <c r="W11" s="146">
        <v>0.30327807578641836</v>
      </c>
      <c r="X11" s="146">
        <v>0.2887814757080093</v>
      </c>
      <c r="Y11" s="146">
        <v>0.27508688721709085</v>
      </c>
      <c r="Z11" s="146">
        <v>0.262144</v>
      </c>
      <c r="AA11" s="146">
        <v>0.24990602650135688</v>
      </c>
      <c r="AB11" s="146">
        <v>0.23832942997371992</v>
      </c>
      <c r="AC11" s="146">
        <v>0.22737367544323206</v>
      </c>
      <c r="AD11" s="146">
        <v>0.21700100150075288</v>
      </c>
      <c r="AE11" s="146">
        <v>0.2071762110330033</v>
      </c>
    </row>
    <row r="12" spans="1:31" ht="12.75">
      <c r="A12" s="145">
        <v>7</v>
      </c>
      <c r="B12" s="146">
        <v>0.9327180547071355</v>
      </c>
      <c r="C12" s="146">
        <v>0.8705601786139139</v>
      </c>
      <c r="D12" s="146">
        <v>0.8130915113433538</v>
      </c>
      <c r="E12" s="146">
        <v>0.7599178132020633</v>
      </c>
      <c r="F12" s="146">
        <v>0.7106813301301215</v>
      </c>
      <c r="G12" s="146">
        <v>0.665057113622336</v>
      </c>
      <c r="H12" s="146">
        <v>0.6227497418845911</v>
      </c>
      <c r="I12" s="146">
        <v>0.5834903952621339</v>
      </c>
      <c r="J12" s="146">
        <v>0.5470342448433173</v>
      </c>
      <c r="K12" s="146">
        <v>0.5131581182307065</v>
      </c>
      <c r="L12" s="146">
        <v>0.4816584108908032</v>
      </c>
      <c r="M12" s="146">
        <v>0.45234921533689343</v>
      </c>
      <c r="N12" s="146">
        <v>0.425060643746142</v>
      </c>
      <c r="O12" s="146">
        <v>0.39963732252986695</v>
      </c>
      <c r="P12" s="146">
        <v>0.3759370399230927</v>
      </c>
      <c r="Q12" s="146">
        <v>0.3538295298857034</v>
      </c>
      <c r="R12" s="146">
        <v>0.33319537755572626</v>
      </c>
      <c r="S12" s="146">
        <v>0.3139250332019956</v>
      </c>
      <c r="T12" s="146">
        <v>0.295917923120547</v>
      </c>
      <c r="U12" s="146">
        <v>0.2790816472336534</v>
      </c>
      <c r="V12" s="146">
        <v>0.26333125430608006</v>
      </c>
      <c r="W12" s="146">
        <v>0.24858858671017897</v>
      </c>
      <c r="X12" s="146">
        <v>0.2347816875674872</v>
      </c>
      <c r="Y12" s="146">
        <v>0.22184426388475068</v>
      </c>
      <c r="Z12" s="146">
        <v>0.2097152</v>
      </c>
      <c r="AA12" s="146">
        <v>0.19833811627091813</v>
      </c>
      <c r="AB12" s="146">
        <v>0.18766096848324404</v>
      </c>
      <c r="AC12" s="146">
        <v>0.17763568394002502</v>
      </c>
      <c r="AD12" s="146">
        <v>0.16821783062073867</v>
      </c>
      <c r="AE12" s="146">
        <v>0.1593663161792333</v>
      </c>
    </row>
    <row r="13" spans="1:31" ht="12.75">
      <c r="A13" s="145">
        <v>8</v>
      </c>
      <c r="B13" s="146">
        <v>0.9234832224823122</v>
      </c>
      <c r="C13" s="146">
        <v>0.8534903711901116</v>
      </c>
      <c r="D13" s="146">
        <v>0.7894092343139357</v>
      </c>
      <c r="E13" s="146">
        <v>0.7306902050019838</v>
      </c>
      <c r="F13" s="146">
        <v>0.6768393620286872</v>
      </c>
      <c r="G13" s="146">
        <v>0.6274123713418265</v>
      </c>
      <c r="H13" s="146">
        <v>0.5820091045650384</v>
      </c>
      <c r="I13" s="146">
        <v>0.5402688845019757</v>
      </c>
      <c r="J13" s="146">
        <v>0.5018662796727681</v>
      </c>
      <c r="K13" s="146">
        <v>0.46650738020973315</v>
      </c>
      <c r="L13" s="146">
        <v>0.43392649629802077</v>
      </c>
      <c r="M13" s="146">
        <v>0.4038832279793691</v>
      </c>
      <c r="N13" s="146">
        <v>0.3761598617222496</v>
      </c>
      <c r="O13" s="146">
        <v>0.35055905485076044</v>
      </c>
      <c r="P13" s="146">
        <v>0.32690177384616753</v>
      </c>
      <c r="Q13" s="146">
        <v>0.3050254567980201</v>
      </c>
      <c r="R13" s="146">
        <v>0.28478237397925327</v>
      </c>
      <c r="S13" s="146">
        <v>0.26603816373050476</v>
      </c>
      <c r="T13" s="146">
        <v>0.2486705236307117</v>
      </c>
      <c r="U13" s="146">
        <v>0.23256803936137788</v>
      </c>
      <c r="V13" s="146">
        <v>0.21762913579014884</v>
      </c>
      <c r="W13" s="146">
        <v>0.20376113664768772</v>
      </c>
      <c r="X13" s="146">
        <v>0.190879420786575</v>
      </c>
      <c r="Y13" s="146">
        <v>0.17890666442318603</v>
      </c>
      <c r="Z13" s="146">
        <v>0.16777216</v>
      </c>
      <c r="AA13" s="146">
        <v>0.15741120338961756</v>
      </c>
      <c r="AB13" s="146">
        <v>0.14776454211279058</v>
      </c>
      <c r="AC13" s="146">
        <v>0.13877787807814454</v>
      </c>
      <c r="AD13" s="146">
        <v>0.13040141908584393</v>
      </c>
      <c r="AE13" s="146">
        <v>0.12258947398402563</v>
      </c>
    </row>
    <row r="14" spans="1:31" ht="12.75">
      <c r="A14" s="145">
        <v>9</v>
      </c>
      <c r="B14" s="146">
        <v>0.9143398242399129</v>
      </c>
      <c r="C14" s="146">
        <v>0.8367552658726585</v>
      </c>
      <c r="D14" s="146">
        <v>0.766416732343627</v>
      </c>
      <c r="E14" s="146">
        <v>0.7025867355788304</v>
      </c>
      <c r="F14" s="146">
        <v>0.6446089162177973</v>
      </c>
      <c r="G14" s="146">
        <v>0.591898463530025</v>
      </c>
      <c r="H14" s="146">
        <v>0.5439337425841481</v>
      </c>
      <c r="I14" s="146">
        <v>0.500248967131459</v>
      </c>
      <c r="J14" s="146">
        <v>0.460427779516301</v>
      </c>
      <c r="K14" s="146">
        <v>0.42409761837248466</v>
      </c>
      <c r="L14" s="146">
        <v>0.3909247714396583</v>
      </c>
      <c r="M14" s="146">
        <v>0.36061002498157957</v>
      </c>
      <c r="N14" s="146">
        <v>0.3328848333825218</v>
      </c>
      <c r="O14" s="146">
        <v>0.3075079428515442</v>
      </c>
      <c r="P14" s="146">
        <v>0.28426241204014574</v>
      </c>
      <c r="Q14" s="146">
        <v>0.26295297999829326</v>
      </c>
      <c r="R14" s="146">
        <v>0.24340373844380622</v>
      </c>
      <c r="S14" s="146">
        <v>0.2254560709580549</v>
      </c>
      <c r="T14" s="146">
        <v>0.20896682658043003</v>
      </c>
      <c r="U14" s="146">
        <v>0.1938066994678149</v>
      </c>
      <c r="V14" s="146">
        <v>0.17985878990921392</v>
      </c>
      <c r="W14" s="146">
        <v>0.1670173251210555</v>
      </c>
      <c r="X14" s="146">
        <v>0.1551865209646951</v>
      </c>
      <c r="Y14" s="146">
        <v>0.14427956808321454</v>
      </c>
      <c r="Z14" s="146">
        <v>0.134217728</v>
      </c>
      <c r="AA14" s="146">
        <v>0.12492952649969646</v>
      </c>
      <c r="AB14" s="146">
        <v>0.11635003315967762</v>
      </c>
      <c r="AC14" s="146">
        <v>0.10842021724855043</v>
      </c>
      <c r="AD14" s="146">
        <v>0.10108637138437514</v>
      </c>
      <c r="AE14" s="146">
        <v>0.0942995953723274</v>
      </c>
    </row>
    <row r="15" spans="1:31" ht="12.75">
      <c r="A15" s="145">
        <v>10</v>
      </c>
      <c r="B15" s="146">
        <v>0.9052869546929831</v>
      </c>
      <c r="C15" s="146">
        <v>0.8203482998751553</v>
      </c>
      <c r="D15" s="146">
        <v>0.7440939148967252</v>
      </c>
      <c r="E15" s="146">
        <v>0.6755641688257985</v>
      </c>
      <c r="F15" s="146">
        <v>0.6139132535407593</v>
      </c>
      <c r="G15" s="204">
        <v>0.5583947769151179</v>
      </c>
      <c r="H15" s="146">
        <v>0.5083492921347178</v>
      </c>
      <c r="I15" s="146">
        <v>0.46319348808468425</v>
      </c>
      <c r="J15" s="146">
        <v>0.42241080689568894</v>
      </c>
      <c r="K15" s="146">
        <v>0.3855432894295315</v>
      </c>
      <c r="L15" s="146">
        <v>0.3521844787744669</v>
      </c>
      <c r="M15" s="204">
        <v>0.321973236590696</v>
      </c>
      <c r="N15" s="146">
        <v>0.2945883481261255</v>
      </c>
      <c r="O15" s="146">
        <v>0.2697438095188984</v>
      </c>
      <c r="P15" s="146">
        <v>0.24718470612186585</v>
      </c>
      <c r="Q15" s="146">
        <v>0.22668360344680452</v>
      </c>
      <c r="R15" s="146">
        <v>0.20803738328530447</v>
      </c>
      <c r="S15" s="146">
        <v>0.19106446691360587</v>
      </c>
      <c r="T15" s="146">
        <v>0.17560237527767228</v>
      </c>
      <c r="U15" s="146">
        <v>0.16150558288984573</v>
      </c>
      <c r="V15" s="146">
        <v>0.14864362802414371</v>
      </c>
      <c r="W15" s="146">
        <v>0.1368994468205373</v>
      </c>
      <c r="X15" s="146">
        <v>0.12616790322332935</v>
      </c>
      <c r="Y15" s="146">
        <v>0.11635449038968913</v>
      </c>
      <c r="Z15" s="146">
        <v>0.1073741824</v>
      </c>
      <c r="AA15" s="146">
        <v>0.09915041785690196</v>
      </c>
      <c r="AB15" s="146">
        <v>0.09161419933832882</v>
      </c>
      <c r="AC15" s="146">
        <v>0.08470329472543002</v>
      </c>
      <c r="AD15" s="146">
        <v>0.07836152820494197</v>
      </c>
      <c r="AE15" s="146">
        <v>0.07253815028640569</v>
      </c>
    </row>
    <row r="16" spans="1:31" ht="12.75">
      <c r="A16" s="145">
        <v>11</v>
      </c>
      <c r="B16" s="146">
        <v>0.8963237175178053</v>
      </c>
      <c r="C16" s="146">
        <v>0.8042630390932897</v>
      </c>
      <c r="D16" s="146">
        <v>0.7224212765987623</v>
      </c>
      <c r="E16" s="146">
        <v>0.6495809315632679</v>
      </c>
      <c r="F16" s="146">
        <v>0.5846792890864374</v>
      </c>
      <c r="G16" s="146">
        <v>0.5267875253916205</v>
      </c>
      <c r="H16" s="146">
        <v>0.47509279638758667</v>
      </c>
      <c r="I16" s="146">
        <v>0.4288828593376706</v>
      </c>
      <c r="J16" s="146">
        <v>0.3875328503630174</v>
      </c>
      <c r="K16" s="146">
        <v>0.3504938994813922</v>
      </c>
      <c r="L16" s="146">
        <v>0.31728331421123146</v>
      </c>
      <c r="M16" s="146">
        <v>0.28747610409883567</v>
      </c>
      <c r="N16" s="146">
        <v>0.26069765320896066</v>
      </c>
      <c r="O16" s="146">
        <v>0.23661737677096348</v>
      </c>
      <c r="P16" s="146">
        <v>0.21494322271466598</v>
      </c>
      <c r="Q16" s="146">
        <v>0.19541689952310734</v>
      </c>
      <c r="R16" s="146">
        <v>0.17780972930367903</v>
      </c>
      <c r="S16" s="146">
        <v>0.1619190397572931</v>
      </c>
      <c r="T16" s="146">
        <v>0.14756502124174142</v>
      </c>
      <c r="U16" s="146">
        <v>0.13458798574153813</v>
      </c>
      <c r="V16" s="146">
        <v>0.12284597357367251</v>
      </c>
      <c r="W16" s="146">
        <v>0.11221266132830927</v>
      </c>
      <c r="X16" s="146">
        <v>0.10257553107587754</v>
      </c>
      <c r="Y16" s="146">
        <v>0.09383426644329769</v>
      </c>
      <c r="Z16" s="146">
        <v>0.08589934592</v>
      </c>
      <c r="AA16" s="146">
        <v>0.07869080782293807</v>
      </c>
      <c r="AB16" s="146">
        <v>0.07213716483332978</v>
      </c>
      <c r="AC16" s="146">
        <v>0.0661744490042422</v>
      </c>
      <c r="AD16" s="146">
        <v>0.06074537070150539</v>
      </c>
      <c r="AE16" s="146">
        <v>0.05579857714338899</v>
      </c>
    </row>
    <row r="17" spans="1:31" ht="12.75">
      <c r="A17" s="145">
        <v>12</v>
      </c>
      <c r="B17" s="146">
        <v>0.8874492252651537</v>
      </c>
      <c r="C17" s="146">
        <v>0.7884931755816564</v>
      </c>
      <c r="D17" s="146">
        <v>0.7013798801929733</v>
      </c>
      <c r="E17" s="146">
        <v>0.6245970495800651</v>
      </c>
      <c r="F17" s="146">
        <v>0.5568374181775595</v>
      </c>
      <c r="G17" s="146">
        <v>0.4969693635770005</v>
      </c>
      <c r="H17" s="146">
        <v>0.4440119592407353</v>
      </c>
      <c r="I17" s="146">
        <v>0.39711375864599124</v>
      </c>
      <c r="J17" s="146">
        <v>0.35553472510368567</v>
      </c>
      <c r="K17" s="146">
        <v>0.31863081771035656</v>
      </c>
      <c r="L17" s="146">
        <v>0.285840823613722</v>
      </c>
      <c r="M17" s="146">
        <v>0.25667509294538904</v>
      </c>
      <c r="N17" s="146">
        <v>0.23070588779554044</v>
      </c>
      <c r="O17" s="146">
        <v>0.2075591024306697</v>
      </c>
      <c r="P17" s="146">
        <v>0.1869071501866661</v>
      </c>
      <c r="Q17" s="146">
        <v>0.16846284441647186</v>
      </c>
      <c r="R17" s="146">
        <v>0.1519741276099821</v>
      </c>
      <c r="S17" s="146">
        <v>0.13721952521804504</v>
      </c>
      <c r="T17" s="146">
        <v>0.12400421953087515</v>
      </c>
      <c r="U17" s="146">
        <v>0.11215665478461512</v>
      </c>
      <c r="V17" s="146">
        <v>0.10152559799477068</v>
      </c>
      <c r="W17" s="146">
        <v>0.09197759125271253</v>
      </c>
      <c r="X17" s="146">
        <v>0.08339474071209556</v>
      </c>
      <c r="Y17" s="146">
        <v>0.07567279551878846</v>
      </c>
      <c r="Z17" s="146">
        <v>0.068719476736</v>
      </c>
      <c r="AA17" s="146">
        <v>0.06245302208169687</v>
      </c>
      <c r="AB17" s="146">
        <v>0.05680091719159826</v>
      </c>
      <c r="AC17" s="146">
        <v>0.05169878828456422</v>
      </c>
      <c r="AD17" s="146">
        <v>0.04708943465232976</v>
      </c>
      <c r="AE17" s="146">
        <v>0.04292198241799153</v>
      </c>
    </row>
    <row r="18" spans="1:31" ht="12.75">
      <c r="A18" s="145">
        <v>13</v>
      </c>
      <c r="B18" s="146">
        <v>0.8786625992724293</v>
      </c>
      <c r="C18" s="146">
        <v>0.7730325250800554</v>
      </c>
      <c r="D18" s="146">
        <v>0.6809513399931779</v>
      </c>
      <c r="E18" s="146">
        <v>0.600574086134678</v>
      </c>
      <c r="F18" s="146">
        <v>0.5303213506452946</v>
      </c>
      <c r="G18" s="146">
        <v>0.4688390222424533</v>
      </c>
      <c r="H18" s="146">
        <v>0.4149644478885376</v>
      </c>
      <c r="I18" s="146">
        <v>0.3676979246722141</v>
      </c>
      <c r="J18" s="146">
        <v>0.32617864688411524</v>
      </c>
      <c r="K18" s="146">
        <v>0.2896643797366878</v>
      </c>
      <c r="L18" s="146">
        <v>0.25751425550785767</v>
      </c>
      <c r="M18" s="146">
        <v>0.22917419012981158</v>
      </c>
      <c r="N18" s="146">
        <v>0.2041645024739296</v>
      </c>
      <c r="O18" s="146">
        <v>0.18206938809707865</v>
      </c>
      <c r="P18" s="146">
        <v>0.16252795668405748</v>
      </c>
      <c r="Q18" s="146">
        <v>0.1452265900141999</v>
      </c>
      <c r="R18" s="146">
        <v>0.12989241676066848</v>
      </c>
      <c r="S18" s="146">
        <v>0.1162877332356314</v>
      </c>
      <c r="T18" s="146">
        <v>0.10420522649653374</v>
      </c>
      <c r="U18" s="146">
        <v>0.09346387898717926</v>
      </c>
      <c r="V18" s="146">
        <v>0.08390545288824024</v>
      </c>
      <c r="W18" s="146">
        <v>0.0753914682399283</v>
      </c>
      <c r="X18" s="146">
        <v>0.06780060220495573</v>
      </c>
      <c r="Y18" s="146">
        <v>0.06102644799902295</v>
      </c>
      <c r="Z18" s="146">
        <v>0.0549755813888</v>
      </c>
      <c r="AA18" s="146">
        <v>0.049565890541029264</v>
      </c>
      <c r="AB18" s="146">
        <v>0.04472513164692777</v>
      </c>
      <c r="AC18" s="146">
        <v>0.0403896783473158</v>
      </c>
      <c r="AD18" s="146">
        <v>0.03650343771498431</v>
      </c>
      <c r="AE18" s="146">
        <v>0.033016909552301174</v>
      </c>
    </row>
    <row r="19" spans="1:31" ht="12.75">
      <c r="A19" s="145">
        <v>14</v>
      </c>
      <c r="B19" s="146">
        <v>0.8699629695766626</v>
      </c>
      <c r="C19" s="146">
        <v>0.7578750245882895</v>
      </c>
      <c r="D19" s="146">
        <v>0.6611178058186192</v>
      </c>
      <c r="E19" s="146">
        <v>0.5774750828218058</v>
      </c>
      <c r="F19" s="146">
        <v>0.5050679529955189</v>
      </c>
      <c r="G19" s="146">
        <v>0.4423009643796729</v>
      </c>
      <c r="H19" s="146">
        <v>0.3878172410173249</v>
      </c>
      <c r="I19" s="146">
        <v>0.3404610413631612</v>
      </c>
      <c r="J19" s="146">
        <v>0.29924646503129837</v>
      </c>
      <c r="K19" s="146">
        <v>0.26333125430607973</v>
      </c>
      <c r="L19" s="146">
        <v>0.23199482478185374</v>
      </c>
      <c r="M19" s="146">
        <v>0.20461981261590317</v>
      </c>
      <c r="N19" s="146">
        <v>0.18067655086188467</v>
      </c>
      <c r="O19" s="146">
        <v>0.15970998955884091</v>
      </c>
      <c r="P19" s="146">
        <v>0.14132865798613695</v>
      </c>
      <c r="Q19" s="146">
        <v>0.12519533621913784</v>
      </c>
      <c r="R19" s="146">
        <v>0.11101915962450297</v>
      </c>
      <c r="S19" s="146">
        <v>0.09854892647087406</v>
      </c>
      <c r="T19" s="146">
        <v>0.08756741722397794</v>
      </c>
      <c r="U19" s="146">
        <v>0.07788656582264938</v>
      </c>
      <c r="V19" s="146">
        <v>0.06934334949441341</v>
      </c>
      <c r="W19" s="146">
        <v>0.061796285442564186</v>
      </c>
      <c r="X19" s="146">
        <v>0.0551224408170372</v>
      </c>
      <c r="Y19" s="146">
        <v>0.049214877418566894</v>
      </c>
      <c r="Z19" s="146">
        <v>0.04398046511104</v>
      </c>
      <c r="AA19" s="146">
        <v>0.039338008365896245</v>
      </c>
      <c r="AB19" s="146">
        <v>0.0352166390920691</v>
      </c>
      <c r="AC19" s="146">
        <v>0.03155443620884047</v>
      </c>
      <c r="AD19" s="146">
        <v>0.028297238538747525</v>
      </c>
      <c r="AE19" s="146">
        <v>0.02539762273253936</v>
      </c>
    </row>
    <row r="20" spans="1:31" ht="12.75">
      <c r="A20" s="145">
        <v>15</v>
      </c>
      <c r="B20" s="146">
        <v>0.8613494748283791</v>
      </c>
      <c r="C20" s="146">
        <v>0.7430147299885193</v>
      </c>
      <c r="D20" s="146">
        <v>0.6418619473967176</v>
      </c>
      <c r="E20" s="146">
        <v>0.5552645027132748</v>
      </c>
      <c r="F20" s="146">
        <v>0.4810170980909702</v>
      </c>
      <c r="G20" s="146">
        <v>0.41726506073554037</v>
      </c>
      <c r="H20" s="146">
        <v>0.3624460196423597</v>
      </c>
      <c r="I20" s="146">
        <v>0.31524170496588994</v>
      </c>
      <c r="J20" s="146">
        <v>0.27453804131311776</v>
      </c>
      <c r="K20" s="146">
        <v>0.2393920493691634</v>
      </c>
      <c r="L20" s="146">
        <v>0.2090043466503187</v>
      </c>
      <c r="M20" s="146">
        <v>0.18269626126419927</v>
      </c>
      <c r="N20" s="146">
        <v>0.15989075297511918</v>
      </c>
      <c r="O20" s="146">
        <v>0.1400964820691587</v>
      </c>
      <c r="P20" s="146">
        <v>0.1228944852053365</v>
      </c>
      <c r="Q20" s="146">
        <v>0.10792701398201539</v>
      </c>
      <c r="R20" s="146">
        <v>0.09488817061923333</v>
      </c>
      <c r="S20" s="146">
        <v>0.08351603938209666</v>
      </c>
      <c r="T20" s="146">
        <v>0.0735860648940991</v>
      </c>
      <c r="U20" s="146">
        <v>0.06490547151887449</v>
      </c>
      <c r="V20" s="146">
        <v>0.057308553301168116</v>
      </c>
      <c r="W20" s="146">
        <v>0.05065269298570835</v>
      </c>
      <c r="X20" s="146">
        <v>0.044814992534176576</v>
      </c>
      <c r="Y20" s="146">
        <v>0.03968941727303781</v>
      </c>
      <c r="Z20" s="146">
        <v>0.035184372088832</v>
      </c>
      <c r="AA20" s="146">
        <v>0.03122064156023511</v>
      </c>
      <c r="AB20" s="146">
        <v>0.027729637080369372</v>
      </c>
      <c r="AC20" s="146">
        <v>0.024651903288156612</v>
      </c>
      <c r="AD20" s="146">
        <v>0.02193584382848645</v>
      </c>
      <c r="AE20" s="146">
        <v>0.019536632871184123</v>
      </c>
    </row>
    <row r="21" spans="1:31" ht="12.75">
      <c r="A21" s="145">
        <v>16</v>
      </c>
      <c r="B21" s="146">
        <v>0.8528212622063156</v>
      </c>
      <c r="C21" s="146">
        <v>0.7284458137142344</v>
      </c>
      <c r="D21" s="146">
        <v>0.6231669392201143</v>
      </c>
      <c r="E21" s="146">
        <v>0.533908175685841</v>
      </c>
      <c r="F21" s="146">
        <v>0.4581115219914002</v>
      </c>
      <c r="G21" s="146">
        <v>0.39364628371277405</v>
      </c>
      <c r="H21" s="146">
        <v>0.33873459779659787</v>
      </c>
      <c r="I21" s="146">
        <v>0.2918904675610092</v>
      </c>
      <c r="J21" s="146">
        <v>0.2518697626725851</v>
      </c>
      <c r="K21" s="146">
        <v>0.21762913579014853</v>
      </c>
      <c r="L21" s="146">
        <v>0.18829220418947626</v>
      </c>
      <c r="M21" s="146">
        <v>0.16312166184303503</v>
      </c>
      <c r="N21" s="146">
        <v>0.14149624157090193</v>
      </c>
      <c r="O21" s="146">
        <v>0.12289165093785848</v>
      </c>
      <c r="P21" s="146">
        <v>0.10686476974377089</v>
      </c>
      <c r="Q21" s="146">
        <v>0.09304052929484086</v>
      </c>
      <c r="R21" s="146">
        <v>0.08110100052925925</v>
      </c>
      <c r="S21" s="146">
        <v>0.07077630456109887</v>
      </c>
      <c r="T21" s="146">
        <v>0.06183702932277235</v>
      </c>
      <c r="U21" s="146">
        <v>0.05408789293239541</v>
      </c>
      <c r="V21" s="146">
        <v>0.04736244074476704</v>
      </c>
      <c r="W21" s="146">
        <v>0.04151860080795767</v>
      </c>
      <c r="X21" s="146">
        <v>0.036434953279818355</v>
      </c>
      <c r="Y21" s="146">
        <v>0.0320075945750305</v>
      </c>
      <c r="Z21" s="146">
        <v>0.0281474976710656</v>
      </c>
      <c r="AA21" s="146">
        <v>0.024778286952567546</v>
      </c>
      <c r="AB21" s="146">
        <v>0.021834359905802656</v>
      </c>
      <c r="AC21" s="146">
        <v>0.019259299443872356</v>
      </c>
      <c r="AD21" s="146">
        <v>0.0170045300996019</v>
      </c>
      <c r="AE21" s="146">
        <v>0.015028179131680095</v>
      </c>
    </row>
    <row r="22" spans="1:31" ht="12.75">
      <c r="A22" s="145">
        <v>17</v>
      </c>
      <c r="B22" s="146">
        <v>0.8443774873329857</v>
      </c>
      <c r="C22" s="146">
        <v>0.7141625624649357</v>
      </c>
      <c r="D22" s="146">
        <v>0.6050164458447712</v>
      </c>
      <c r="E22" s="146">
        <v>0.5133732458517702</v>
      </c>
      <c r="F22" s="146">
        <v>0.43629668761085727</v>
      </c>
      <c r="G22" s="146">
        <v>0.37136441859695657</v>
      </c>
      <c r="H22" s="146">
        <v>0.3165743904641102</v>
      </c>
      <c r="I22" s="146">
        <v>0.27026895144537894</v>
      </c>
      <c r="J22" s="146">
        <v>0.23107317676383954</v>
      </c>
      <c r="K22" s="146">
        <v>0.19784466890013502</v>
      </c>
      <c r="L22" s="146">
        <v>0.16963261638691554</v>
      </c>
      <c r="M22" s="146">
        <v>0.14564434093128129</v>
      </c>
      <c r="N22" s="146">
        <v>0.1252179128946035</v>
      </c>
      <c r="O22" s="146">
        <v>0.107799693805139</v>
      </c>
      <c r="P22" s="146">
        <v>0.09292588673371383</v>
      </c>
      <c r="Q22" s="146">
        <v>0.08020735284038005</v>
      </c>
      <c r="R22" s="146">
        <v>0.06931709446945236</v>
      </c>
      <c r="S22" s="146">
        <v>0.059979919119575315</v>
      </c>
      <c r="T22" s="146">
        <v>0.05196389018720366</v>
      </c>
      <c r="U22" s="146">
        <v>0.04507324411032951</v>
      </c>
      <c r="V22" s="146">
        <v>0.039142513012204165</v>
      </c>
      <c r="W22" s="146">
        <v>0.03403164000652268</v>
      </c>
      <c r="X22" s="146">
        <v>0.02962191323562468</v>
      </c>
      <c r="Y22" s="146">
        <v>0.02581257627018589</v>
      </c>
      <c r="Z22" s="146">
        <v>0.02251799813685248</v>
      </c>
      <c r="AA22" s="146">
        <v>0.01966530710521234</v>
      </c>
      <c r="AB22" s="146">
        <v>0.017192409374647763</v>
      </c>
      <c r="AC22" s="146">
        <v>0.015046327690525278</v>
      </c>
      <c r="AD22" s="146">
        <v>0.01318180627876116</v>
      </c>
      <c r="AE22" s="146">
        <v>0.011560137793600074</v>
      </c>
    </row>
    <row r="23" spans="1:31" ht="12.75">
      <c r="A23" s="145">
        <v>18</v>
      </c>
      <c r="B23" s="146">
        <v>0.836017314191075</v>
      </c>
      <c r="C23" s="146">
        <v>0.7001593749656233</v>
      </c>
      <c r="D23" s="146">
        <v>0.5873946076162827</v>
      </c>
      <c r="E23" s="204">
        <v>0.4936281210113175</v>
      </c>
      <c r="F23" s="146">
        <v>0.41552065486748313</v>
      </c>
      <c r="G23" s="204">
        <v>0.35034379112920433</v>
      </c>
      <c r="H23" s="146">
        <v>0.29586391632159825</v>
      </c>
      <c r="I23" s="146">
        <v>0.25024902911609154</v>
      </c>
      <c r="J23" s="146">
        <v>0.21199374015031147</v>
      </c>
      <c r="K23" s="146">
        <v>0.17985878990921364</v>
      </c>
      <c r="L23" s="146">
        <v>0.15282217692514913</v>
      </c>
      <c r="M23" s="204">
        <v>0.13003959011721541</v>
      </c>
      <c r="N23" s="146">
        <v>0.1108123122961093</v>
      </c>
      <c r="O23" s="146">
        <v>0.09456113491678858</v>
      </c>
      <c r="P23" s="146">
        <v>0.0808051188988816</v>
      </c>
      <c r="Q23" s="204">
        <v>0.0691442696899828</v>
      </c>
      <c r="R23" s="146">
        <v>0.059245379888420824</v>
      </c>
      <c r="S23" s="146">
        <v>0.05083043993184349</v>
      </c>
      <c r="T23" s="146">
        <v>0.04366713461109552</v>
      </c>
      <c r="U23" s="146">
        <v>0.037561036758607926</v>
      </c>
      <c r="V23" s="146">
        <v>0.03234918430760675</v>
      </c>
      <c r="W23" s="146">
        <v>0.02789478689059236</v>
      </c>
      <c r="X23" s="146">
        <v>0.024082856289125758</v>
      </c>
      <c r="Y23" s="146">
        <v>0.02081659376627894</v>
      </c>
      <c r="Z23" s="146">
        <v>0.018014398509481985</v>
      </c>
      <c r="AA23" s="146">
        <v>0.015607386591438363</v>
      </c>
      <c r="AB23" s="146">
        <v>0.01353733021625808</v>
      </c>
      <c r="AC23" s="146">
        <v>0.011754943508222872</v>
      </c>
      <c r="AD23" s="146">
        <v>0.010218454479659815</v>
      </c>
      <c r="AE23" s="146">
        <v>0.00889241368738467</v>
      </c>
    </row>
    <row r="24" spans="1:31" ht="12.75">
      <c r="A24" s="145">
        <v>19</v>
      </c>
      <c r="B24" s="146">
        <v>0.8277399150406685</v>
      </c>
      <c r="C24" s="146">
        <v>0.686430759770219</v>
      </c>
      <c r="D24" s="146">
        <v>0.570286026811925</v>
      </c>
      <c r="E24" s="146">
        <v>0.47464242404934376</v>
      </c>
      <c r="F24" s="146">
        <v>0.3957339570166506</v>
      </c>
      <c r="G24" s="146">
        <v>0.3305130104992493</v>
      </c>
      <c r="H24" s="146">
        <v>0.2765083330108395</v>
      </c>
      <c r="I24" s="146">
        <v>0.23171206399638106</v>
      </c>
      <c r="J24" s="146">
        <v>0.19448966986267105</v>
      </c>
      <c r="K24" s="146">
        <v>0.16350799082655781</v>
      </c>
      <c r="L24" s="146">
        <v>0.1376776368695037</v>
      </c>
      <c r="M24" s="146">
        <v>0.1161067768903709</v>
      </c>
      <c r="N24" s="146">
        <v>0.09806399318239763</v>
      </c>
      <c r="O24" s="146">
        <v>0.08294836396209525</v>
      </c>
      <c r="P24" s="146">
        <v>0.07026532078163618</v>
      </c>
      <c r="Q24" s="146">
        <v>0.059607129043088625</v>
      </c>
      <c r="R24" s="146">
        <v>0.050637076827710105</v>
      </c>
      <c r="S24" s="146">
        <v>0.04307664401003686</v>
      </c>
      <c r="T24" s="146">
        <v>0.036695071101760936</v>
      </c>
      <c r="U24" s="146">
        <v>0.0313008639655066</v>
      </c>
      <c r="V24" s="146">
        <v>0.026734863064137807</v>
      </c>
      <c r="W24" s="146">
        <v>0.02286457941851833</v>
      </c>
      <c r="X24" s="146">
        <v>0.019579557958638825</v>
      </c>
      <c r="Y24" s="146">
        <v>0.01678757561796689</v>
      </c>
      <c r="Z24" s="146">
        <v>0.014411518807585587</v>
      </c>
      <c r="AA24" s="146">
        <v>0.012386814755109811</v>
      </c>
      <c r="AB24" s="146">
        <v>0.010659315130911874</v>
      </c>
      <c r="AC24" s="146">
        <v>0.009183549615799117</v>
      </c>
      <c r="AD24" s="146">
        <v>0.00792128254237195</v>
      </c>
      <c r="AE24" s="146">
        <v>0.00684031822106513</v>
      </c>
    </row>
    <row r="25" spans="1:31" ht="12.75">
      <c r="A25" s="145">
        <v>20</v>
      </c>
      <c r="B25" s="146">
        <v>0.8195444703372954</v>
      </c>
      <c r="C25" s="146">
        <v>0.6729713331080578</v>
      </c>
      <c r="D25" s="146">
        <v>0.553675754186335</v>
      </c>
      <c r="E25" s="146">
        <v>0.45638694620129205</v>
      </c>
      <c r="F25" s="146">
        <v>0.3768894828730006</v>
      </c>
      <c r="G25" s="204">
        <v>0.3118047268860843</v>
      </c>
      <c r="H25" s="146">
        <v>0.2584190028138687</v>
      </c>
      <c r="I25" s="146">
        <v>0.21454820740405653</v>
      </c>
      <c r="J25" s="146">
        <v>0.17843088978226704</v>
      </c>
      <c r="K25" s="146">
        <v>0.1486436280241435</v>
      </c>
      <c r="L25" s="146">
        <v>0.12403390708964297</v>
      </c>
      <c r="M25" s="146">
        <v>0.1036667650806883</v>
      </c>
      <c r="N25" s="146">
        <v>0.08678229485167932</v>
      </c>
      <c r="O25" s="146">
        <v>0.07276172277376775</v>
      </c>
      <c r="P25" s="146">
        <v>0.0611002789405532</v>
      </c>
      <c r="Q25" s="146">
        <v>0.05138545607162813</v>
      </c>
      <c r="R25" s="146">
        <v>0.043279552844196684</v>
      </c>
      <c r="S25" s="146">
        <v>0.03650563051698039</v>
      </c>
      <c r="T25" s="146">
        <v>0.030836194203160455</v>
      </c>
      <c r="U25" s="146">
        <v>0.026084053304588836</v>
      </c>
      <c r="V25" s="146">
        <v>0.022094928152180008</v>
      </c>
      <c r="W25" s="146">
        <v>0.018741458539769124</v>
      </c>
      <c r="X25" s="146">
        <v>0.015918339803771404</v>
      </c>
      <c r="Y25" s="146">
        <v>0.013538367433844265</v>
      </c>
      <c r="Z25" s="146">
        <v>0.011529215046068469</v>
      </c>
      <c r="AA25" s="146">
        <v>0.009830805361198262</v>
      </c>
      <c r="AB25" s="146">
        <v>0.00839316152040305</v>
      </c>
      <c r="AC25" s="146">
        <v>0.007174648137343063</v>
      </c>
      <c r="AD25" s="146">
        <v>0.0061405291026139135</v>
      </c>
      <c r="AE25" s="146">
        <v>0.005261783246973178</v>
      </c>
    </row>
    <row r="26" spans="1:31" ht="12.75">
      <c r="A26" s="145">
        <v>21</v>
      </c>
      <c r="B26" s="146">
        <v>0.8114301686507877</v>
      </c>
      <c r="C26" s="146">
        <v>0.6597758167726057</v>
      </c>
      <c r="D26" s="146">
        <v>0.5375492759090631</v>
      </c>
      <c r="E26" s="146">
        <v>0.43883360211662686</v>
      </c>
      <c r="F26" s="146">
        <v>0.35894236464095297</v>
      </c>
      <c r="G26" s="146">
        <v>0.29415540272272095</v>
      </c>
      <c r="H26" s="146">
        <v>0.24151308674193336</v>
      </c>
      <c r="I26" s="146">
        <v>0.19865574759634863</v>
      </c>
      <c r="J26" s="146">
        <v>0.16369806402042844</v>
      </c>
      <c r="K26" s="146">
        <v>0.13513057093103953</v>
      </c>
      <c r="L26" s="146">
        <v>0.11174225863931797</v>
      </c>
      <c r="M26" s="146">
        <v>0.09255961167918597</v>
      </c>
      <c r="N26" s="146">
        <v>0.07679849101918525</v>
      </c>
      <c r="O26" s="146">
        <v>0.0638260726085682</v>
      </c>
      <c r="P26" s="146">
        <v>0.05313067733961148</v>
      </c>
      <c r="Q26" s="146">
        <v>0.04429780695830011</v>
      </c>
      <c r="R26" s="146">
        <v>0.03699107080700571</v>
      </c>
      <c r="S26" s="146">
        <v>0.030936975014390168</v>
      </c>
      <c r="T26" s="146">
        <v>0.02591276823794996</v>
      </c>
      <c r="U26" s="146">
        <v>0.021736711087157363</v>
      </c>
      <c r="V26" s="146">
        <v>0.018260271200148767</v>
      </c>
      <c r="W26" s="146">
        <v>0.01536185126210584</v>
      </c>
      <c r="X26" s="146">
        <v>0.012941739677862931</v>
      </c>
      <c r="Y26" s="146">
        <v>0.010918038253100214</v>
      </c>
      <c r="Z26" s="146">
        <v>0.009223372036854775</v>
      </c>
      <c r="AA26" s="146">
        <v>0.007802226477141478</v>
      </c>
      <c r="AB26" s="146">
        <v>0.006608788598742561</v>
      </c>
      <c r="AC26" s="146">
        <v>0.005605193857299267</v>
      </c>
      <c r="AD26" s="146">
        <v>0.004760100079545669</v>
      </c>
      <c r="AE26" s="146">
        <v>0.004047525574594752</v>
      </c>
    </row>
    <row r="27" spans="1:31" ht="12.75">
      <c r="A27" s="145">
        <v>22</v>
      </c>
      <c r="B27" s="146">
        <v>0.803396206584938</v>
      </c>
      <c r="C27" s="146">
        <v>0.6468390360515741</v>
      </c>
      <c r="D27" s="146">
        <v>0.5218925008825855</v>
      </c>
      <c r="E27" s="146">
        <v>0.4219553866506028</v>
      </c>
      <c r="F27" s="146">
        <v>0.3418498710866219</v>
      </c>
      <c r="G27" s="146">
        <v>0.2775050969082273</v>
      </c>
      <c r="H27" s="146">
        <v>0.22571316517937698</v>
      </c>
      <c r="I27" s="146">
        <v>0.1839405070336561</v>
      </c>
      <c r="J27" s="146">
        <v>0.1501817101104848</v>
      </c>
      <c r="K27" s="146">
        <v>0.12284597357367227</v>
      </c>
      <c r="L27" s="146">
        <v>0.10066870147686303</v>
      </c>
      <c r="M27" s="146">
        <v>0.08264251042784461</v>
      </c>
      <c r="N27" s="146">
        <v>0.06796326638865953</v>
      </c>
      <c r="O27" s="146">
        <v>0.0559877829899721</v>
      </c>
      <c r="P27" s="146">
        <v>0.046200588990966504</v>
      </c>
      <c r="Q27" s="146">
        <v>0.03818776461922423</v>
      </c>
      <c r="R27" s="146">
        <v>0.03161629983504762</v>
      </c>
      <c r="S27" s="146">
        <v>0.02621777543592387</v>
      </c>
      <c r="T27" s="146">
        <v>0.0217754354940756</v>
      </c>
      <c r="U27" s="146">
        <v>0.018113925905964473</v>
      </c>
      <c r="V27" s="146">
        <v>0.015091133223263444</v>
      </c>
      <c r="W27" s="146">
        <v>0.012591681362381837</v>
      </c>
      <c r="X27" s="146">
        <v>0.010521739575498318</v>
      </c>
      <c r="Y27" s="146">
        <v>0.008804869558951784</v>
      </c>
      <c r="Z27" s="146">
        <v>0.007378697629483821</v>
      </c>
      <c r="AA27" s="146">
        <v>0.006192243235826569</v>
      </c>
      <c r="AB27" s="146">
        <v>0.0052037705501909925</v>
      </c>
      <c r="AC27" s="146">
        <v>0.004379057701015053</v>
      </c>
      <c r="AD27" s="146">
        <v>0.003690000061663309</v>
      </c>
      <c r="AE27" s="146">
        <v>0.0031134812112267323</v>
      </c>
    </row>
    <row r="28" spans="1:31" ht="12.75">
      <c r="A28" s="145">
        <v>23</v>
      </c>
      <c r="B28" s="146">
        <v>0.7954417886979586</v>
      </c>
      <c r="C28" s="146">
        <v>0.6341559176976218</v>
      </c>
      <c r="D28" s="146">
        <v>0.5066917484296947</v>
      </c>
      <c r="E28" s="146">
        <v>0.4057263333178873</v>
      </c>
      <c r="F28" s="146">
        <v>0.3255713057967827</v>
      </c>
      <c r="G28" s="146">
        <v>0.2617972612341767</v>
      </c>
      <c r="H28" s="146">
        <v>0.2109468833452121</v>
      </c>
      <c r="I28" s="146">
        <v>0.17031528429042234</v>
      </c>
      <c r="J28" s="146">
        <v>0.13778138542246313</v>
      </c>
      <c r="K28" s="146">
        <v>0.11167815779424752</v>
      </c>
      <c r="L28" s="146">
        <v>0.09069252385302977</v>
      </c>
      <c r="M28" s="146">
        <v>0.07378795573914698</v>
      </c>
      <c r="N28" s="146">
        <v>0.06014448352978719</v>
      </c>
      <c r="O28" s="146">
        <v>0.04911209034208078</v>
      </c>
      <c r="P28" s="146">
        <v>0.040174425209536097</v>
      </c>
      <c r="Q28" s="146">
        <v>0.03292048674071055</v>
      </c>
      <c r="R28" s="146">
        <v>0.027022478491493696</v>
      </c>
      <c r="S28" s="146">
        <v>0.022218453759257517</v>
      </c>
      <c r="T28" s="146">
        <v>0.01829868528913916</v>
      </c>
      <c r="U28" s="146">
        <v>0.015094938254970394</v>
      </c>
      <c r="V28" s="146">
        <v>0.012472010928316896</v>
      </c>
      <c r="W28" s="146">
        <v>0.010321050297034291</v>
      </c>
      <c r="X28" s="146">
        <v>0.008554259817478307</v>
      </c>
      <c r="Y28" s="146">
        <v>0.00710070125721918</v>
      </c>
      <c r="Z28" s="146">
        <v>0.005902958103587057</v>
      </c>
      <c r="AA28" s="146">
        <v>0.004914478758592515</v>
      </c>
      <c r="AB28" s="146">
        <v>0.00409745712613464</v>
      </c>
      <c r="AC28" s="146">
        <v>0.003421138828918009</v>
      </c>
      <c r="AD28" s="146">
        <v>0.0028604651640800846</v>
      </c>
      <c r="AE28" s="146">
        <v>0.002394985547097486</v>
      </c>
    </row>
    <row r="29" spans="1:31" ht="12.75">
      <c r="A29" s="145">
        <v>24</v>
      </c>
      <c r="B29" s="146">
        <v>0.7875661274237212</v>
      </c>
      <c r="C29" s="146">
        <v>0.6217214879388449</v>
      </c>
      <c r="D29" s="146">
        <v>0.49193373633950943</v>
      </c>
      <c r="E29" s="146">
        <v>0.3901214743441224</v>
      </c>
      <c r="F29" s="146">
        <v>0.31006791028265024</v>
      </c>
      <c r="G29" s="146">
        <v>0.24697854833412897</v>
      </c>
      <c r="H29" s="146">
        <v>0.19714661994879637</v>
      </c>
      <c r="I29" s="146">
        <v>0.1576993373059466</v>
      </c>
      <c r="J29" s="146">
        <v>0.12640494075455333</v>
      </c>
      <c r="K29" s="146">
        <v>0.10152559799477048</v>
      </c>
      <c r="L29" s="146">
        <v>0.08170497644417093</v>
      </c>
      <c r="M29" s="146">
        <v>0.06588210333852408</v>
      </c>
      <c r="N29" s="146">
        <v>0.05322520666352849</v>
      </c>
      <c r="O29" s="146">
        <v>0.04308078100182523</v>
      </c>
      <c r="P29" s="146">
        <v>0.03493428279090096</v>
      </c>
      <c r="Q29" s="146">
        <v>0.028379729948888405</v>
      </c>
      <c r="R29" s="146">
        <v>0.023096135462815127</v>
      </c>
      <c r="S29" s="146">
        <v>0.018829198101065692</v>
      </c>
      <c r="T29" s="146">
        <v>0.015377046461461475</v>
      </c>
      <c r="U29" s="146">
        <v>0.012579115212475329</v>
      </c>
      <c r="V29" s="146">
        <v>0.010307447048195783</v>
      </c>
      <c r="W29" s="146">
        <v>0.00845987729265106</v>
      </c>
      <c r="X29" s="146">
        <v>0.006954682778437648</v>
      </c>
      <c r="Y29" s="146">
        <v>0.0057263719816283715</v>
      </c>
      <c r="Z29" s="146">
        <v>0.004722366482869646</v>
      </c>
      <c r="AA29" s="146">
        <v>0.0039003799671369164</v>
      </c>
      <c r="AB29" s="146">
        <v>0.0032263441938068026</v>
      </c>
      <c r="AC29" s="146">
        <v>0.002672764710092195</v>
      </c>
      <c r="AD29" s="146">
        <v>0.0022174148558760346</v>
      </c>
      <c r="AE29" s="146">
        <v>0.001842296574690374</v>
      </c>
    </row>
    <row r="30" spans="1:31" ht="12.75">
      <c r="A30" s="145">
        <v>25</v>
      </c>
      <c r="B30" s="146">
        <v>0.7797684429937832</v>
      </c>
      <c r="C30" s="146">
        <v>0.6095308705282794</v>
      </c>
      <c r="D30" s="146">
        <v>0.47760556926165965</v>
      </c>
      <c r="E30" s="146">
        <v>0.37511680225396377</v>
      </c>
      <c r="F30" s="146">
        <v>0.2953027716977621</v>
      </c>
      <c r="G30" s="146">
        <v>0.23299863050389524</v>
      </c>
      <c r="H30" s="146">
        <v>0.18424917752223957</v>
      </c>
      <c r="I30" s="146">
        <v>0.1460179049129135</v>
      </c>
      <c r="J30" s="146">
        <v>0.11596783555463605</v>
      </c>
      <c r="K30" s="146">
        <v>0.09229599817706405</v>
      </c>
      <c r="L30" s="146">
        <v>0.07360808688664047</v>
      </c>
      <c r="M30" s="146">
        <v>0.05882330655225364</v>
      </c>
      <c r="N30" s="146">
        <v>0.047101952799582736</v>
      </c>
      <c r="O30" s="146">
        <v>0.03779015877353091</v>
      </c>
      <c r="P30" s="146">
        <v>0.0303776372094791</v>
      </c>
      <c r="Q30" s="146">
        <v>0.024465284438696902</v>
      </c>
      <c r="R30" s="146">
        <v>0.019740286720354813</v>
      </c>
      <c r="S30" s="146">
        <v>0.01595694754327601</v>
      </c>
      <c r="T30" s="146">
        <v>0.012921887782740737</v>
      </c>
      <c r="U30" s="146">
        <v>0.010482596010396106</v>
      </c>
      <c r="V30" s="146">
        <v>0.008518551279500648</v>
      </c>
      <c r="W30" s="146">
        <v>0.006934325649713984</v>
      </c>
      <c r="X30" s="146">
        <v>0.005654213641006218</v>
      </c>
      <c r="Y30" s="146">
        <v>0.004618041920668042</v>
      </c>
      <c r="Z30" s="146">
        <v>0.003777893186295716</v>
      </c>
      <c r="AA30" s="146">
        <v>0.0030955396564578703</v>
      </c>
      <c r="AB30" s="146">
        <v>0.0025404284990604748</v>
      </c>
      <c r="AC30" s="146">
        <v>0.002088097429759527</v>
      </c>
      <c r="AD30" s="146">
        <v>0.001718926244865143</v>
      </c>
      <c r="AE30" s="146">
        <v>0.0014171512113002876</v>
      </c>
    </row>
    <row r="31" spans="1:31" ht="12.75">
      <c r="A31" s="145">
        <v>26</v>
      </c>
      <c r="B31" s="146">
        <v>0.7720479633601814</v>
      </c>
      <c r="C31" s="146">
        <v>0.5975792848316464</v>
      </c>
      <c r="D31" s="146">
        <v>0.4636947274385045</v>
      </c>
      <c r="E31" s="146">
        <v>0.3606892329365037</v>
      </c>
      <c r="F31" s="146">
        <v>0.2812407349502496</v>
      </c>
      <c r="G31" s="146">
        <v>0.21981002877725966</v>
      </c>
      <c r="H31" s="146">
        <v>0.17219549301143888</v>
      </c>
      <c r="I31" s="146">
        <v>0.13520176380825324</v>
      </c>
      <c r="J31" s="146">
        <v>0.10639250968315234</v>
      </c>
      <c r="K31" s="146">
        <v>0.08390545288824004</v>
      </c>
      <c r="L31" s="146">
        <v>0.06631359178976619</v>
      </c>
      <c r="M31" s="146">
        <v>0.05252080942165503</v>
      </c>
      <c r="N31" s="146">
        <v>0.04168314407042721</v>
      </c>
      <c r="O31" s="146">
        <v>0.03314926208204465</v>
      </c>
      <c r="P31" s="146">
        <v>0.026415336703894867</v>
      </c>
      <c r="Q31" s="146">
        <v>0.0210907624471525</v>
      </c>
      <c r="R31" s="146">
        <v>0.016872039931927187</v>
      </c>
      <c r="S31" s="146">
        <v>0.013522836901081367</v>
      </c>
      <c r="T31" s="146">
        <v>0.010858729229193897</v>
      </c>
      <c r="U31" s="146">
        <v>0.00873549667533009</v>
      </c>
      <c r="V31" s="146">
        <v>0.0070401250243807</v>
      </c>
      <c r="W31" s="146">
        <v>0.005683873483372118</v>
      </c>
      <c r="X31" s="146">
        <v>0.004596921659354649</v>
      </c>
      <c r="Y31" s="146">
        <v>0.003724227355377453</v>
      </c>
      <c r="Z31" s="146">
        <v>0.0030223145490365726</v>
      </c>
      <c r="AA31" s="146">
        <v>0.002456777505125294</v>
      </c>
      <c r="AB31" s="146">
        <v>0.0020003374008350193</v>
      </c>
      <c r="AC31" s="146">
        <v>0.0016313261169996305</v>
      </c>
      <c r="AD31" s="146">
        <v>0.0013325009650117388</v>
      </c>
      <c r="AE31" s="146">
        <v>0.0010901163163848366</v>
      </c>
    </row>
    <row r="32" spans="1:31" ht="12.75">
      <c r="A32" s="145">
        <v>27</v>
      </c>
      <c r="B32" s="146">
        <v>0.7644039241189918</v>
      </c>
      <c r="C32" s="146">
        <v>0.5858620439525946</v>
      </c>
      <c r="D32" s="146">
        <v>0.45018905576553836</v>
      </c>
      <c r="E32" s="146">
        <v>0.3468165701312535</v>
      </c>
      <c r="F32" s="146">
        <v>0.2678483190002377</v>
      </c>
      <c r="G32" s="146">
        <v>0.20736795167666003</v>
      </c>
      <c r="H32" s="146">
        <v>0.16093036730041013</v>
      </c>
      <c r="I32" s="146">
        <v>0.12518681834097523</v>
      </c>
      <c r="J32" s="146">
        <v>0.09760780704876361</v>
      </c>
      <c r="K32" s="146">
        <v>0.07627768444385458</v>
      </c>
      <c r="L32" s="146">
        <v>0.059741974585374946</v>
      </c>
      <c r="M32" s="146">
        <v>0.046893579840763415</v>
      </c>
      <c r="N32" s="146">
        <v>0.036887738115422314</v>
      </c>
      <c r="O32" s="146">
        <v>0.029078300071968988</v>
      </c>
      <c r="P32" s="146">
        <v>0.022969858003386846</v>
      </c>
      <c r="Q32" s="146">
        <v>0.01818169176478664</v>
      </c>
      <c r="R32" s="146">
        <v>0.014420546950365118</v>
      </c>
      <c r="S32" s="146">
        <v>0.011460031272102853</v>
      </c>
      <c r="T32" s="146">
        <v>0.00912498254554109</v>
      </c>
      <c r="U32" s="146">
        <v>0.007279580562775074</v>
      </c>
      <c r="V32" s="146">
        <v>0.005818285144116282</v>
      </c>
      <c r="W32" s="146">
        <v>0.004658912691288622</v>
      </c>
      <c r="X32" s="146">
        <v>0.003737334682402154</v>
      </c>
      <c r="Y32" s="146">
        <v>0.003003409157562462</v>
      </c>
      <c r="Z32" s="146">
        <v>0.0024178516392292584</v>
      </c>
      <c r="AA32" s="146">
        <v>0.001949823416766106</v>
      </c>
      <c r="AB32" s="146">
        <v>0.0015750688195551336</v>
      </c>
      <c r="AC32" s="146">
        <v>0.0012744735289059613</v>
      </c>
      <c r="AD32" s="146">
        <v>0.0010329464845052238</v>
      </c>
      <c r="AE32" s="146">
        <v>0.0008385510126037202</v>
      </c>
    </row>
    <row r="33" spans="1:31" ht="12.75">
      <c r="A33" s="145">
        <v>28</v>
      </c>
      <c r="B33" s="146">
        <v>0.7568355684346453</v>
      </c>
      <c r="C33" s="146">
        <v>0.5743745528947004</v>
      </c>
      <c r="D33" s="146">
        <v>0.4370767531704256</v>
      </c>
      <c r="E33" s="146">
        <v>0.3334774712800514</v>
      </c>
      <c r="F33" s="146">
        <v>0.2550936371430836</v>
      </c>
      <c r="G33" s="146">
        <v>0.1956301430911887</v>
      </c>
      <c r="H33" s="146">
        <v>0.15040221243028987</v>
      </c>
      <c r="I33" s="146">
        <v>0.11591372068608817</v>
      </c>
      <c r="J33" s="146">
        <v>0.08954844683372809</v>
      </c>
      <c r="K33" s="146">
        <v>0.06934334949441325</v>
      </c>
      <c r="L33" s="146">
        <v>0.053821598725563004</v>
      </c>
      <c r="M33" s="146">
        <v>0.04186926771496734</v>
      </c>
      <c r="N33" s="146">
        <v>0.03264401603134719</v>
      </c>
      <c r="O33" s="146">
        <v>0.025507280764885072</v>
      </c>
      <c r="P33" s="146">
        <v>0.019973789568162478</v>
      </c>
      <c r="Q33" s="146">
        <v>0.01567387221102297</v>
      </c>
      <c r="R33" s="146">
        <v>0.012325253803730873</v>
      </c>
      <c r="S33" s="146">
        <v>0.009711890908561742</v>
      </c>
      <c r="T33" s="146">
        <v>0.007668052559278227</v>
      </c>
      <c r="U33" s="146">
        <v>0.0060663171356458954</v>
      </c>
      <c r="V33" s="146">
        <v>0.0048085001191043655</v>
      </c>
      <c r="W33" s="146">
        <v>0.0038187808944988703</v>
      </c>
      <c r="X33" s="146">
        <v>0.0030384834816277674</v>
      </c>
      <c r="Y33" s="146">
        <v>0.0024221041593245657</v>
      </c>
      <c r="Z33" s="146">
        <v>0.0019342813113834068</v>
      </c>
      <c r="AA33" s="146">
        <v>0.0015474789021953223</v>
      </c>
      <c r="AB33" s="146">
        <v>0.00124021166894105</v>
      </c>
      <c r="AC33" s="146">
        <v>0.0009956824444577823</v>
      </c>
      <c r="AD33" s="146">
        <v>0.0008007337089187783</v>
      </c>
      <c r="AE33" s="146">
        <v>0.0006450392404644003</v>
      </c>
    </row>
    <row r="34" spans="1:31" ht="12.75">
      <c r="A34" s="145">
        <v>29</v>
      </c>
      <c r="B34" s="146">
        <v>0.7493421469649953</v>
      </c>
      <c r="C34" s="146">
        <v>0.5631123067595103</v>
      </c>
      <c r="D34" s="146">
        <v>0.4243463623013841</v>
      </c>
      <c r="E34" s="146">
        <v>0.3206514146923571</v>
      </c>
      <c r="F34" s="146">
        <v>0.24294632108865097</v>
      </c>
      <c r="G34" s="146">
        <v>0.18455673876527234</v>
      </c>
      <c r="H34" s="146">
        <v>0.1405628153554111</v>
      </c>
      <c r="I34" s="146">
        <v>0.10732751915378534</v>
      </c>
      <c r="J34" s="146">
        <v>0.08215453837956704</v>
      </c>
      <c r="K34" s="146">
        <v>0.06303940863128477</v>
      </c>
      <c r="L34" s="146">
        <v>0.04848792677978649</v>
      </c>
      <c r="M34" s="146">
        <v>0.037383274745506546</v>
      </c>
      <c r="N34" s="146">
        <v>0.028888509762254145</v>
      </c>
      <c r="O34" s="146">
        <v>0.022374807688495677</v>
      </c>
      <c r="P34" s="146">
        <v>0.01736851266796737</v>
      </c>
      <c r="Q34" s="146">
        <v>0.013511958802606007</v>
      </c>
      <c r="R34" s="146">
        <v>0.010534404960453738</v>
      </c>
      <c r="S34" s="146">
        <v>0.008230416024204866</v>
      </c>
      <c r="T34" s="146">
        <v>0.006443741646452293</v>
      </c>
      <c r="U34" s="146">
        <v>0.005055264279704913</v>
      </c>
      <c r="V34" s="146">
        <v>0.00397396704058212</v>
      </c>
      <c r="W34" s="146">
        <v>0.003130148274179402</v>
      </c>
      <c r="X34" s="146">
        <v>0.0024703117736811116</v>
      </c>
      <c r="Y34" s="146">
        <v>0.001953309805906908</v>
      </c>
      <c r="Z34" s="146">
        <v>0.0015474250491067255</v>
      </c>
      <c r="AA34" s="146">
        <v>0.0012281578588851766</v>
      </c>
      <c r="AB34" s="146">
        <v>0.0009765446212134253</v>
      </c>
      <c r="AC34" s="146">
        <v>0.0007778769097326425</v>
      </c>
      <c r="AD34" s="146">
        <v>0.0006207238053633938</v>
      </c>
      <c r="AE34" s="146">
        <v>0.0004961840311264616</v>
      </c>
    </row>
    <row r="35" spans="1:31" ht="12.75">
      <c r="A35" s="145">
        <v>30</v>
      </c>
      <c r="B35" s="146">
        <v>0.7419229177871239</v>
      </c>
      <c r="C35" s="146">
        <v>0.552070888979912</v>
      </c>
      <c r="D35" s="146">
        <v>0.4119867595159069</v>
      </c>
      <c r="E35" s="146">
        <v>0.30831866797342034</v>
      </c>
      <c r="F35" s="146">
        <v>0.23137744865585813</v>
      </c>
      <c r="G35" s="146">
        <v>0.17411013091063426</v>
      </c>
      <c r="H35" s="146">
        <v>0.13136711715458982</v>
      </c>
      <c r="I35" s="146">
        <v>0.09937733254980123</v>
      </c>
      <c r="J35" s="146">
        <v>0.07537113612804315</v>
      </c>
      <c r="K35" s="146">
        <v>0.057308553301167964</v>
      </c>
      <c r="L35" s="146">
        <v>0.04368281691872657</v>
      </c>
      <c r="M35" s="146">
        <v>0.03337792387991655</v>
      </c>
      <c r="N35" s="146">
        <v>0.02556505288695058</v>
      </c>
      <c r="O35" s="146">
        <v>0.0196270242881541</v>
      </c>
      <c r="P35" s="146">
        <v>0.015103054493884669</v>
      </c>
      <c r="Q35" s="146">
        <v>0.011648240347074144</v>
      </c>
      <c r="R35" s="146">
        <v>0.009003764923464733</v>
      </c>
      <c r="S35" s="146">
        <v>0.00697492883407192</v>
      </c>
      <c r="T35" s="146">
        <v>0.005414908946598565</v>
      </c>
      <c r="U35" s="146">
        <v>0.0042127202330874275</v>
      </c>
      <c r="V35" s="146">
        <v>0.003284270281472827</v>
      </c>
      <c r="W35" s="146">
        <v>0.002565695306704428</v>
      </c>
      <c r="X35" s="146">
        <v>0.0020083835558383023</v>
      </c>
      <c r="Y35" s="146">
        <v>0.0015752498434733128</v>
      </c>
      <c r="Z35" s="146">
        <v>0.0012379400392853802</v>
      </c>
      <c r="AA35" s="146">
        <v>0.0009747284594326798</v>
      </c>
      <c r="AB35" s="146">
        <v>0.0007689327726089963</v>
      </c>
      <c r="AC35" s="146">
        <v>0.000607716335728627</v>
      </c>
      <c r="AD35" s="146">
        <v>0.0004811812444677472</v>
      </c>
      <c r="AE35" s="146">
        <v>0.00038168002394343205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0.625" style="0" bestFit="1" customWidth="1"/>
    <col min="2" max="8" width="7.625" style="0" bestFit="1" customWidth="1"/>
    <col min="9" max="20" width="8.625" style="0" bestFit="1" customWidth="1"/>
    <col min="21" max="31" width="9.625" style="0" bestFit="1" customWidth="1"/>
  </cols>
  <sheetData>
    <row r="1" spans="1:2" ht="12.75">
      <c r="A1" t="s">
        <v>44</v>
      </c>
      <c r="B1">
        <v>1</v>
      </c>
    </row>
    <row r="2" spans="1:2" ht="12.75">
      <c r="A2" t="s">
        <v>147</v>
      </c>
      <c r="B2">
        <v>0.01</v>
      </c>
    </row>
    <row r="3" spans="1:2" ht="12.75">
      <c r="A3" t="s">
        <v>46</v>
      </c>
      <c r="B3">
        <v>1</v>
      </c>
    </row>
    <row r="4" spans="1:2" ht="12.75">
      <c r="A4" t="s">
        <v>148</v>
      </c>
      <c r="B4">
        <f>$B$1*((((1+B2)^B3)-1)/B2)</f>
        <v>1.0000000000000009</v>
      </c>
    </row>
    <row r="5" spans="1:31" ht="12.75">
      <c r="A5" s="144">
        <f>B4</f>
        <v>1.0000000000000009</v>
      </c>
      <c r="B5" s="153">
        <v>0.01</v>
      </c>
      <c r="C5" s="153">
        <v>0.02</v>
      </c>
      <c r="D5" s="153">
        <v>0.03</v>
      </c>
      <c r="E5" s="153">
        <v>0.04</v>
      </c>
      <c r="F5" s="153">
        <v>0.05</v>
      </c>
      <c r="G5" s="153">
        <v>0.06</v>
      </c>
      <c r="H5" s="153">
        <v>0.07</v>
      </c>
      <c r="I5" s="153">
        <v>0.08</v>
      </c>
      <c r="J5" s="153">
        <v>0.09</v>
      </c>
      <c r="K5" s="153">
        <v>0.1</v>
      </c>
      <c r="L5" s="153">
        <v>0.11</v>
      </c>
      <c r="M5" s="153">
        <v>0.12</v>
      </c>
      <c r="N5" s="153">
        <v>0.13</v>
      </c>
      <c r="O5" s="153">
        <v>0.14</v>
      </c>
      <c r="P5" s="153">
        <v>0.15</v>
      </c>
      <c r="Q5" s="153">
        <v>0.16</v>
      </c>
      <c r="R5" s="153">
        <v>0.17</v>
      </c>
      <c r="S5" s="153">
        <v>0.18</v>
      </c>
      <c r="T5" s="153">
        <v>0.19</v>
      </c>
      <c r="U5" s="153">
        <v>0.2</v>
      </c>
      <c r="V5" s="153">
        <v>0.21</v>
      </c>
      <c r="W5" s="153">
        <v>0.22</v>
      </c>
      <c r="X5" s="153">
        <v>0.23</v>
      </c>
      <c r="Y5" s="153">
        <v>0.24</v>
      </c>
      <c r="Z5" s="153">
        <v>0.25</v>
      </c>
      <c r="AA5" s="153">
        <v>0.26</v>
      </c>
      <c r="AB5" s="153">
        <v>0.27</v>
      </c>
      <c r="AC5" s="153">
        <v>0.28</v>
      </c>
      <c r="AD5" s="153">
        <v>0.29</v>
      </c>
      <c r="AE5" s="153">
        <v>0.3</v>
      </c>
    </row>
    <row r="6" spans="1:31" ht="12.75">
      <c r="A6" s="145">
        <v>1</v>
      </c>
      <c r="B6" s="146">
        <v>1</v>
      </c>
      <c r="C6" s="146">
        <v>1</v>
      </c>
      <c r="D6" s="146">
        <v>1</v>
      </c>
      <c r="E6" s="146">
        <v>1</v>
      </c>
      <c r="F6" s="146">
        <v>1</v>
      </c>
      <c r="G6" s="146">
        <v>1</v>
      </c>
      <c r="H6" s="146">
        <v>1</v>
      </c>
      <c r="I6" s="146">
        <v>1</v>
      </c>
      <c r="J6" s="146">
        <v>1</v>
      </c>
      <c r="K6" s="146">
        <v>1</v>
      </c>
      <c r="L6" s="146">
        <v>1</v>
      </c>
      <c r="M6" s="146">
        <v>1</v>
      </c>
      <c r="N6" s="146">
        <v>0.9999999999999991</v>
      </c>
      <c r="O6" s="146">
        <v>1</v>
      </c>
      <c r="P6" s="146">
        <v>0.9999999999999994</v>
      </c>
      <c r="Q6" s="146">
        <v>0.9999999999999994</v>
      </c>
      <c r="R6" s="146">
        <v>1</v>
      </c>
      <c r="S6" s="146">
        <v>1</v>
      </c>
      <c r="T6" s="146">
        <v>1</v>
      </c>
      <c r="U6" s="146">
        <v>1</v>
      </c>
      <c r="V6" s="146">
        <v>1</v>
      </c>
      <c r="W6" s="146">
        <v>1</v>
      </c>
      <c r="X6" s="146">
        <v>1</v>
      </c>
      <c r="Y6" s="146">
        <v>1</v>
      </c>
      <c r="Z6" s="146">
        <v>1</v>
      </c>
      <c r="AA6" s="146">
        <v>1</v>
      </c>
      <c r="AB6" s="146">
        <v>1</v>
      </c>
      <c r="AC6" s="146">
        <v>1</v>
      </c>
      <c r="AD6" s="146">
        <v>1</v>
      </c>
      <c r="AE6" s="146">
        <v>1</v>
      </c>
    </row>
    <row r="7" spans="1:31" ht="12.75">
      <c r="A7" s="145">
        <v>2</v>
      </c>
      <c r="B7" s="146">
        <v>2.01</v>
      </c>
      <c r="C7" s="146">
        <v>2.02</v>
      </c>
      <c r="D7" s="146">
        <v>2.03</v>
      </c>
      <c r="E7" s="146">
        <v>2.04</v>
      </c>
      <c r="F7" s="146">
        <v>2.05</v>
      </c>
      <c r="G7" s="146">
        <v>2.06</v>
      </c>
      <c r="H7" s="146">
        <v>2.07</v>
      </c>
      <c r="I7" s="146">
        <v>2.08</v>
      </c>
      <c r="J7" s="146">
        <v>2.09</v>
      </c>
      <c r="K7" s="146">
        <v>2.1</v>
      </c>
      <c r="L7" s="146">
        <v>2.11</v>
      </c>
      <c r="M7" s="146">
        <v>2.12</v>
      </c>
      <c r="N7" s="146">
        <v>2.13</v>
      </c>
      <c r="O7" s="146">
        <v>2.14</v>
      </c>
      <c r="P7" s="146">
        <v>2.15</v>
      </c>
      <c r="Q7" s="146">
        <v>2.16</v>
      </c>
      <c r="R7" s="146">
        <v>2.17</v>
      </c>
      <c r="S7" s="146">
        <v>2.18</v>
      </c>
      <c r="T7" s="146">
        <v>2.19</v>
      </c>
      <c r="U7" s="146">
        <v>2.2</v>
      </c>
      <c r="V7" s="146">
        <v>2.21</v>
      </c>
      <c r="W7" s="146">
        <v>2.22</v>
      </c>
      <c r="X7" s="146">
        <v>2.23</v>
      </c>
      <c r="Y7" s="146">
        <v>2.24</v>
      </c>
      <c r="Z7" s="146">
        <v>2.25</v>
      </c>
      <c r="AA7" s="146">
        <v>2.26</v>
      </c>
      <c r="AB7" s="146">
        <v>2.27</v>
      </c>
      <c r="AC7" s="146">
        <v>2.28</v>
      </c>
      <c r="AD7" s="146">
        <v>2.29</v>
      </c>
      <c r="AE7" s="146">
        <v>2.3</v>
      </c>
    </row>
    <row r="8" spans="1:31" ht="12.75">
      <c r="A8" s="145">
        <v>3</v>
      </c>
      <c r="B8" s="146">
        <v>3.030099999999991</v>
      </c>
      <c r="C8" s="146">
        <v>3.0603999999999965</v>
      </c>
      <c r="D8" s="146">
        <v>3.0909000000000004</v>
      </c>
      <c r="E8" s="146">
        <v>3.121600000000002</v>
      </c>
      <c r="F8" s="146">
        <v>3.1525</v>
      </c>
      <c r="G8" s="146">
        <v>3.183600000000005</v>
      </c>
      <c r="H8" s="146">
        <v>3.214900000000001</v>
      </c>
      <c r="I8" s="146">
        <v>3.246400000000002</v>
      </c>
      <c r="J8" s="146">
        <v>3.2781000000000025</v>
      </c>
      <c r="K8" s="146">
        <v>3.31</v>
      </c>
      <c r="L8" s="146">
        <v>3.3421000000000025</v>
      </c>
      <c r="M8" s="204">
        <v>3.3744000000000036</v>
      </c>
      <c r="N8" s="146">
        <v>3.4068999999999954</v>
      </c>
      <c r="O8" s="146">
        <v>3.4396000000000027</v>
      </c>
      <c r="P8" s="146">
        <v>3.4725</v>
      </c>
      <c r="Q8" s="146">
        <v>3.505599999999999</v>
      </c>
      <c r="R8" s="146">
        <v>3.538899999999998</v>
      </c>
      <c r="S8" s="146">
        <v>3.572399999999999</v>
      </c>
      <c r="T8" s="146">
        <v>3.606099999999999</v>
      </c>
      <c r="U8" s="146">
        <v>3.64</v>
      </c>
      <c r="V8" s="146">
        <v>3.6740999999999997</v>
      </c>
      <c r="W8" s="146">
        <v>3.7083999999999997</v>
      </c>
      <c r="X8" s="146">
        <v>3.7428999999999992</v>
      </c>
      <c r="Y8" s="146">
        <v>3.7776000000000005</v>
      </c>
      <c r="Z8" s="146">
        <v>3.8125</v>
      </c>
      <c r="AA8" s="146">
        <v>3.8476000000000004</v>
      </c>
      <c r="AB8" s="146">
        <v>3.8828999999999994</v>
      </c>
      <c r="AC8" s="146">
        <v>3.918400000000001</v>
      </c>
      <c r="AD8" s="146">
        <v>3.9541000000000013</v>
      </c>
      <c r="AE8" s="146">
        <v>3.99</v>
      </c>
    </row>
    <row r="9" spans="1:31" ht="12.75">
      <c r="A9" s="145">
        <v>4</v>
      </c>
      <c r="B9" s="146">
        <v>4.060401000000002</v>
      </c>
      <c r="C9" s="146">
        <v>4.121607999999998</v>
      </c>
      <c r="D9" s="146">
        <v>4.183626999999998</v>
      </c>
      <c r="E9" s="146">
        <v>4.246464000000005</v>
      </c>
      <c r="F9" s="146">
        <v>4.310125</v>
      </c>
      <c r="G9" s="146">
        <v>4.374616000000006</v>
      </c>
      <c r="H9" s="146">
        <v>4.4399429999999995</v>
      </c>
      <c r="I9" s="146">
        <v>4.5061120000000034</v>
      </c>
      <c r="J9" s="146">
        <v>4.573129000000003</v>
      </c>
      <c r="K9" s="146">
        <v>4.641000000000004</v>
      </c>
      <c r="L9" s="146">
        <v>4.709731000000004</v>
      </c>
      <c r="M9" s="146">
        <v>4.779328000000003</v>
      </c>
      <c r="N9" s="146">
        <v>4.849796999999994</v>
      </c>
      <c r="O9" s="146">
        <v>4.921144000000005</v>
      </c>
      <c r="P9" s="146">
        <v>4.993374999999997</v>
      </c>
      <c r="Q9" s="146">
        <v>5.066495999999998</v>
      </c>
      <c r="R9" s="146">
        <v>5.140512999999997</v>
      </c>
      <c r="S9" s="146">
        <v>5.215431999999998</v>
      </c>
      <c r="T9" s="146">
        <v>5.291258999999999</v>
      </c>
      <c r="U9" s="146">
        <v>5.367999999999999</v>
      </c>
      <c r="V9" s="146">
        <v>5.445660999999999</v>
      </c>
      <c r="W9" s="146">
        <v>5.524247999999998</v>
      </c>
      <c r="X9" s="146">
        <v>5.603766999999999</v>
      </c>
      <c r="Y9" s="146">
        <v>5.684224000000001</v>
      </c>
      <c r="Z9" s="146">
        <v>5.765625</v>
      </c>
      <c r="AA9" s="146">
        <v>5.847976000000001</v>
      </c>
      <c r="AB9" s="146">
        <v>5.931282999999999</v>
      </c>
      <c r="AC9" s="146">
        <v>6.015552</v>
      </c>
      <c r="AD9" s="146">
        <v>6.100789000000002</v>
      </c>
      <c r="AE9" s="146">
        <v>6.187000000000002</v>
      </c>
    </row>
    <row r="10" spans="1:31" ht="12.75">
      <c r="A10" s="145">
        <v>5</v>
      </c>
      <c r="B10" s="146">
        <v>5.101005009999993</v>
      </c>
      <c r="C10" s="146">
        <v>5.204040160000001</v>
      </c>
      <c r="D10" s="146">
        <v>5.3091358099999955</v>
      </c>
      <c r="E10" s="146">
        <v>5.416322560000008</v>
      </c>
      <c r="F10" s="146">
        <v>5.525631250000003</v>
      </c>
      <c r="G10" s="146">
        <v>5.637092960000008</v>
      </c>
      <c r="H10" s="146">
        <v>5.750739010000002</v>
      </c>
      <c r="I10" s="146">
        <v>5.866600960000004</v>
      </c>
      <c r="J10" s="146">
        <v>5.984710610000006</v>
      </c>
      <c r="K10" s="146">
        <v>6.1051000000000055</v>
      </c>
      <c r="L10" s="146">
        <v>6.227801410000005</v>
      </c>
      <c r="M10" s="146">
        <v>6.352847360000005</v>
      </c>
      <c r="N10" s="146">
        <v>6.480270609999991</v>
      </c>
      <c r="O10" s="146">
        <v>6.610104160000007</v>
      </c>
      <c r="P10" s="146">
        <v>6.742381249999996</v>
      </c>
      <c r="Q10" s="146">
        <v>6.877135359999997</v>
      </c>
      <c r="R10" s="146">
        <v>7.0144002099999945</v>
      </c>
      <c r="S10" s="146">
        <v>7.154209759999995</v>
      </c>
      <c r="T10" s="146">
        <v>7.296598209999998</v>
      </c>
      <c r="U10" s="146">
        <v>7.441599999999999</v>
      </c>
      <c r="V10" s="146">
        <v>7.589249809999998</v>
      </c>
      <c r="W10" s="146">
        <v>7.739582559999998</v>
      </c>
      <c r="X10" s="146">
        <v>7.892633409999998</v>
      </c>
      <c r="Y10" s="146">
        <v>8.04843776</v>
      </c>
      <c r="Z10" s="146">
        <v>8.20703125</v>
      </c>
      <c r="AA10" s="146">
        <v>8.36844976</v>
      </c>
      <c r="AB10" s="146">
        <v>8.532729409999998</v>
      </c>
      <c r="AC10" s="146">
        <v>8.699906559999999</v>
      </c>
      <c r="AD10" s="146">
        <v>8.870017810000004</v>
      </c>
      <c r="AE10" s="146">
        <v>9.043100000000004</v>
      </c>
    </row>
    <row r="11" spans="1:31" ht="12.75">
      <c r="A11" s="145">
        <v>6</v>
      </c>
      <c r="B11" s="146">
        <v>6.152015060100013</v>
      </c>
      <c r="C11" s="146">
        <v>6.308120963200003</v>
      </c>
      <c r="D11" s="146">
        <v>6.468409884299997</v>
      </c>
      <c r="E11" s="146">
        <v>6.632975462400009</v>
      </c>
      <c r="F11" s="146">
        <v>6.8019128124999995</v>
      </c>
      <c r="G11" s="204">
        <v>6.9753185376000095</v>
      </c>
      <c r="H11" s="146">
        <v>7.1532907407</v>
      </c>
      <c r="I11" s="146">
        <v>7.335929036800007</v>
      </c>
      <c r="J11" s="146">
        <v>7.523334564900007</v>
      </c>
      <c r="K11" s="146">
        <v>7.715610000000008</v>
      </c>
      <c r="L11" s="146">
        <v>7.912859565100007</v>
      </c>
      <c r="M11" s="146">
        <v>8.115189043200008</v>
      </c>
      <c r="N11" s="146">
        <v>8.322705789299986</v>
      </c>
      <c r="O11" s="146">
        <v>8.53551874240001</v>
      </c>
      <c r="P11" s="146">
        <v>8.753738437499994</v>
      </c>
      <c r="Q11" s="146">
        <v>8.977477017599997</v>
      </c>
      <c r="R11" s="146">
        <v>9.206848245699994</v>
      </c>
      <c r="S11" s="146">
        <v>9.441967516799997</v>
      </c>
      <c r="T11" s="146">
        <v>9.682951869899997</v>
      </c>
      <c r="U11" s="146">
        <v>9.929919999999997</v>
      </c>
      <c r="V11" s="146">
        <v>10.182992270099998</v>
      </c>
      <c r="W11" s="146">
        <v>10.442290723199996</v>
      </c>
      <c r="X11" s="146">
        <v>10.707939094299997</v>
      </c>
      <c r="Y11" s="146">
        <v>10.980062822400003</v>
      </c>
      <c r="Z11" s="146">
        <v>11.2587890625</v>
      </c>
      <c r="AA11" s="146">
        <v>11.544246697600002</v>
      </c>
      <c r="AB11" s="146">
        <v>11.836566350699998</v>
      </c>
      <c r="AC11" s="146">
        <v>12.1358803968</v>
      </c>
      <c r="AD11" s="146">
        <v>12.442322974900005</v>
      </c>
      <c r="AE11" s="146">
        <v>12.756030000000006</v>
      </c>
    </row>
    <row r="12" spans="1:31" ht="12.75">
      <c r="A12" s="145">
        <v>7</v>
      </c>
      <c r="B12" s="146">
        <v>7.213535210700983</v>
      </c>
      <c r="C12" s="146">
        <v>7.434283382463991</v>
      </c>
      <c r="D12" s="146">
        <v>7.662462180828999</v>
      </c>
      <c r="E12" s="146">
        <v>7.8982944808960065</v>
      </c>
      <c r="F12" s="146">
        <v>8.142008453125005</v>
      </c>
      <c r="G12" s="146">
        <v>8.393837649856014</v>
      </c>
      <c r="H12" s="146">
        <v>8.654021092549002</v>
      </c>
      <c r="I12" s="146">
        <v>8.922803359744009</v>
      </c>
      <c r="J12" s="146">
        <v>9.200434675741008</v>
      </c>
      <c r="K12" s="146">
        <v>9.48717100000001</v>
      </c>
      <c r="L12" s="146">
        <v>9.783274117261007</v>
      </c>
      <c r="M12" s="146">
        <v>10.089011728384008</v>
      </c>
      <c r="N12" s="146">
        <v>10.404657541908984</v>
      </c>
      <c r="O12" s="146">
        <v>10.730491366336013</v>
      </c>
      <c r="P12" s="146">
        <v>11.066799203124988</v>
      </c>
      <c r="Q12" s="146">
        <v>11.413873340415995</v>
      </c>
      <c r="R12" s="146">
        <v>11.77201244746899</v>
      </c>
      <c r="S12" s="146">
        <v>12.141521669823995</v>
      </c>
      <c r="T12" s="146">
        <v>12.522712725180996</v>
      </c>
      <c r="U12" s="146">
        <v>12.915903999999998</v>
      </c>
      <c r="V12" s="146">
        <v>13.321420646820998</v>
      </c>
      <c r="W12" s="146">
        <v>13.739594682303997</v>
      </c>
      <c r="X12" s="146">
        <v>14.170765085988998</v>
      </c>
      <c r="Y12" s="146">
        <v>14.615277899776004</v>
      </c>
      <c r="Z12" s="146">
        <v>15.073486328125</v>
      </c>
      <c r="AA12" s="146">
        <v>15.545750838976003</v>
      </c>
      <c r="AB12" s="146">
        <v>16.032439265388998</v>
      </c>
      <c r="AC12" s="146">
        <v>16.533926907904</v>
      </c>
      <c r="AD12" s="146">
        <v>17.050596637621005</v>
      </c>
      <c r="AE12" s="146">
        <v>17.58283900000001</v>
      </c>
    </row>
    <row r="13" spans="1:31" ht="12.75">
      <c r="A13" s="145">
        <v>8</v>
      </c>
      <c r="B13" s="146">
        <v>8.285670562808022</v>
      </c>
      <c r="C13" s="146">
        <v>8.582969050113276</v>
      </c>
      <c r="D13" s="146">
        <v>8.892336046253865</v>
      </c>
      <c r="E13" s="146">
        <v>9.214226260131852</v>
      </c>
      <c r="F13" s="146">
        <v>9.54910887578125</v>
      </c>
      <c r="G13" s="146">
        <v>9.897467908847373</v>
      </c>
      <c r="H13" s="146">
        <v>10.25980256902743</v>
      </c>
      <c r="I13" s="146">
        <v>10.636627628523529</v>
      </c>
      <c r="J13" s="146">
        <v>11.0284737965577</v>
      </c>
      <c r="K13" s="146">
        <v>11.43588810000001</v>
      </c>
      <c r="L13" s="146">
        <v>11.859434270159722</v>
      </c>
      <c r="M13" s="146">
        <v>12.299693135790092</v>
      </c>
      <c r="N13" s="146">
        <v>12.75726302235715</v>
      </c>
      <c r="O13" s="146">
        <v>13.232760157623058</v>
      </c>
      <c r="P13" s="146">
        <v>13.726819083593735</v>
      </c>
      <c r="Q13" s="146">
        <v>14.240093074882553</v>
      </c>
      <c r="R13" s="146">
        <v>14.773254563538716</v>
      </c>
      <c r="S13" s="146">
        <v>15.326995570392311</v>
      </c>
      <c r="T13" s="146">
        <v>15.902028142965388</v>
      </c>
      <c r="U13" s="146">
        <v>16.499084799999995</v>
      </c>
      <c r="V13" s="146">
        <v>17.118918982653405</v>
      </c>
      <c r="W13" s="146">
        <v>17.762305512410872</v>
      </c>
      <c r="X13" s="146">
        <v>18.430041055766466</v>
      </c>
      <c r="Y13" s="146">
        <v>19.122944595722245</v>
      </c>
      <c r="Z13" s="146">
        <v>19.84185791015625</v>
      </c>
      <c r="AA13" s="146">
        <v>20.587646057109765</v>
      </c>
      <c r="AB13" s="146">
        <v>21.361197867044027</v>
      </c>
      <c r="AC13" s="146">
        <v>22.16342644211712</v>
      </c>
      <c r="AD13" s="146">
        <v>22.9952696625311</v>
      </c>
      <c r="AE13" s="146">
        <v>23.85769070000001</v>
      </c>
    </row>
    <row r="14" spans="1:31" ht="12.75">
      <c r="A14" s="145">
        <v>9</v>
      </c>
      <c r="B14" s="146">
        <v>9.368527268436111</v>
      </c>
      <c r="C14" s="146">
        <v>9.754628431115542</v>
      </c>
      <c r="D14" s="146">
        <v>10.159106127641483</v>
      </c>
      <c r="E14" s="146">
        <v>10.58279531053713</v>
      </c>
      <c r="F14" s="146">
        <v>11.026564319570316</v>
      </c>
      <c r="G14" s="146">
        <v>11.491315983378215</v>
      </c>
      <c r="H14" s="146">
        <v>11.977988748859355</v>
      </c>
      <c r="I14" s="146">
        <v>12.487557838805413</v>
      </c>
      <c r="J14" s="146">
        <v>13.021036438247895</v>
      </c>
      <c r="K14" s="146">
        <v>13.579476910000015</v>
      </c>
      <c r="L14" s="146">
        <v>14.163972039877295</v>
      </c>
      <c r="M14" s="146">
        <v>14.775656312084903</v>
      </c>
      <c r="N14" s="146">
        <v>15.415707215263579</v>
      </c>
      <c r="O14" s="146">
        <v>16.085346579690288</v>
      </c>
      <c r="P14" s="146">
        <v>16.785841946132795</v>
      </c>
      <c r="Q14" s="146">
        <v>17.518507966863762</v>
      </c>
      <c r="R14" s="146">
        <v>18.284707839340292</v>
      </c>
      <c r="S14" s="146">
        <v>19.085854773062927</v>
      </c>
      <c r="T14" s="146">
        <v>19.92341349012881</v>
      </c>
      <c r="U14" s="146">
        <v>20.798901759999996</v>
      </c>
      <c r="V14" s="146">
        <v>21.71389196901062</v>
      </c>
      <c r="W14" s="146">
        <v>22.670012725141262</v>
      </c>
      <c r="X14" s="146">
        <v>23.668950498592753</v>
      </c>
      <c r="Y14" s="146">
        <v>24.712451298695584</v>
      </c>
      <c r="Z14" s="146">
        <v>25.802322387695312</v>
      </c>
      <c r="AA14" s="146">
        <v>26.940434031958308</v>
      </c>
      <c r="AB14" s="146">
        <v>28.12872129114591</v>
      </c>
      <c r="AC14" s="146">
        <v>29.369185845909914</v>
      </c>
      <c r="AD14" s="146">
        <v>30.66389786466512</v>
      </c>
      <c r="AE14" s="146">
        <v>32.01499791000001</v>
      </c>
    </row>
    <row r="15" spans="1:31" ht="12.75">
      <c r="A15" s="145">
        <v>10</v>
      </c>
      <c r="B15" s="146">
        <v>10.462212541120474</v>
      </c>
      <c r="C15" s="146">
        <v>10.949720999737854</v>
      </c>
      <c r="D15" s="146">
        <v>11.463879311470727</v>
      </c>
      <c r="E15" s="146">
        <v>12.006107122958614</v>
      </c>
      <c r="F15" s="146">
        <v>12.57789253554883</v>
      </c>
      <c r="G15" s="204">
        <v>13.18079494238091</v>
      </c>
      <c r="H15" s="146">
        <v>13.816447961279508</v>
      </c>
      <c r="I15" s="146">
        <v>14.486562465909847</v>
      </c>
      <c r="J15" s="146">
        <v>15.192929717690209</v>
      </c>
      <c r="K15" s="146">
        <v>15.937424601000018</v>
      </c>
      <c r="L15" s="146">
        <v>16.7220089642638</v>
      </c>
      <c r="M15" s="204">
        <v>17.548735069535095</v>
      </c>
      <c r="N15" s="146">
        <v>18.41974915324784</v>
      </c>
      <c r="O15" s="146">
        <v>19.337295100846934</v>
      </c>
      <c r="P15" s="146">
        <v>20.303718238052713</v>
      </c>
      <c r="Q15" s="146">
        <v>21.321469241561964</v>
      </c>
      <c r="R15" s="146">
        <v>22.393108172028146</v>
      </c>
      <c r="S15" s="146">
        <v>23.521308632214254</v>
      </c>
      <c r="T15" s="146">
        <v>24.708862053253284</v>
      </c>
      <c r="U15" s="146">
        <v>25.958682111999995</v>
      </c>
      <c r="V15" s="146">
        <v>27.27380928250285</v>
      </c>
      <c r="W15" s="146">
        <v>28.65741552467234</v>
      </c>
      <c r="X15" s="146">
        <v>30.112809113269083</v>
      </c>
      <c r="Y15" s="146">
        <v>31.643439610382526</v>
      </c>
      <c r="Z15" s="146">
        <v>33.25290298461914</v>
      </c>
      <c r="AA15" s="146">
        <v>34.944946880267466</v>
      </c>
      <c r="AB15" s="146">
        <v>36.72347603975531</v>
      </c>
      <c r="AC15" s="146">
        <v>38.59255788276469</v>
      </c>
      <c r="AD15" s="146">
        <v>40.556428245418005</v>
      </c>
      <c r="AE15" s="146">
        <v>42.61949728300002</v>
      </c>
    </row>
    <row r="16" spans="1:31" ht="12.75">
      <c r="A16" s="145">
        <v>11</v>
      </c>
      <c r="B16" s="146">
        <v>11.566834666531655</v>
      </c>
      <c r="C16" s="146">
        <v>12.168715419732601</v>
      </c>
      <c r="D16" s="146">
        <v>12.80779569081485</v>
      </c>
      <c r="E16" s="146">
        <v>13.486351407876956</v>
      </c>
      <c r="F16" s="146">
        <v>14.206787162326275</v>
      </c>
      <c r="G16" s="146">
        <v>14.97164263892377</v>
      </c>
      <c r="H16" s="146">
        <v>15.783599318569076</v>
      </c>
      <c r="I16" s="146">
        <v>16.645487463182633</v>
      </c>
      <c r="J16" s="146">
        <v>17.560293392282325</v>
      </c>
      <c r="K16" s="146">
        <v>18.531167061100025</v>
      </c>
      <c r="L16" s="146">
        <v>19.56142995033282</v>
      </c>
      <c r="M16" s="146">
        <v>20.65458327787931</v>
      </c>
      <c r="N16" s="146">
        <v>21.814316543170055</v>
      </c>
      <c r="O16" s="146">
        <v>23.044516414965507</v>
      </c>
      <c r="P16" s="146">
        <v>24.349275973760616</v>
      </c>
      <c r="Q16" s="146">
        <v>25.732904320211873</v>
      </c>
      <c r="R16" s="146">
        <v>27.19993656127293</v>
      </c>
      <c r="S16" s="146">
        <v>28.755144186012817</v>
      </c>
      <c r="T16" s="146">
        <v>30.403545843371408</v>
      </c>
      <c r="U16" s="146">
        <v>32.15041853439999</v>
      </c>
      <c r="V16" s="146">
        <v>34.001309231828444</v>
      </c>
      <c r="W16" s="146">
        <v>35.96204694010025</v>
      </c>
      <c r="X16" s="146">
        <v>38.03875520932097</v>
      </c>
      <c r="Y16" s="146">
        <v>40.23786511687433</v>
      </c>
      <c r="Z16" s="146">
        <v>42.566128730773926</v>
      </c>
      <c r="AA16" s="146">
        <v>45.030633069137004</v>
      </c>
      <c r="AB16" s="146">
        <v>47.638814570489245</v>
      </c>
      <c r="AC16" s="146">
        <v>50.398474089938816</v>
      </c>
      <c r="AD16" s="146">
        <v>53.31779243658924</v>
      </c>
      <c r="AE16" s="146">
        <v>56.40534646790003</v>
      </c>
    </row>
    <row r="17" spans="1:31" ht="12.75">
      <c r="A17" s="145">
        <v>12</v>
      </c>
      <c r="B17" s="146">
        <v>12.682503013196976</v>
      </c>
      <c r="C17" s="146">
        <v>13.412089728127263</v>
      </c>
      <c r="D17" s="146">
        <v>14.192029561539288</v>
      </c>
      <c r="E17" s="146">
        <v>15.025805464192043</v>
      </c>
      <c r="F17" s="146">
        <v>15.917126520442583</v>
      </c>
      <c r="G17" s="146">
        <v>16.869941197259198</v>
      </c>
      <c r="H17" s="146">
        <v>17.888451270868906</v>
      </c>
      <c r="I17" s="146">
        <v>18.977126460237248</v>
      </c>
      <c r="J17" s="146">
        <v>20.140719797587735</v>
      </c>
      <c r="K17" s="146">
        <v>21.384283767210025</v>
      </c>
      <c r="L17" s="146">
        <v>22.71318724486943</v>
      </c>
      <c r="M17" s="146">
        <v>24.133133271224825</v>
      </c>
      <c r="N17" s="146">
        <v>25.650177693782158</v>
      </c>
      <c r="O17" s="146">
        <v>27.270748713060684</v>
      </c>
      <c r="P17" s="146">
        <v>29.001667369824702</v>
      </c>
      <c r="Q17" s="146">
        <v>30.85016901144577</v>
      </c>
      <c r="R17" s="146">
        <v>32.82392577668932</v>
      </c>
      <c r="S17" s="146">
        <v>34.93107013949512</v>
      </c>
      <c r="T17" s="146">
        <v>37.18021955361198</v>
      </c>
      <c r="U17" s="146">
        <v>39.58050224127999</v>
      </c>
      <c r="V17" s="146">
        <v>42.14158417051242</v>
      </c>
      <c r="W17" s="146">
        <v>44.873697266922306</v>
      </c>
      <c r="X17" s="146">
        <v>47.78766890746479</v>
      </c>
      <c r="Y17" s="146">
        <v>50.894952744924176</v>
      </c>
      <c r="Z17" s="146">
        <v>54.20766091346741</v>
      </c>
      <c r="AA17" s="146">
        <v>57.73859766711263</v>
      </c>
      <c r="AB17" s="146">
        <v>61.50129450452134</v>
      </c>
      <c r="AC17" s="146">
        <v>65.51004683512167</v>
      </c>
      <c r="AD17" s="146">
        <v>69.77995224320011</v>
      </c>
      <c r="AE17" s="146">
        <v>74.32695040827005</v>
      </c>
    </row>
    <row r="18" spans="1:31" ht="12.75">
      <c r="A18" s="145">
        <v>13</v>
      </c>
      <c r="B18" s="146">
        <v>13.80932804332895</v>
      </c>
      <c r="C18" s="146">
        <v>14.680331522689805</v>
      </c>
      <c r="D18" s="146">
        <v>15.617790448385465</v>
      </c>
      <c r="E18" s="146">
        <v>16.626837682759724</v>
      </c>
      <c r="F18" s="146">
        <v>17.71298284646472</v>
      </c>
      <c r="G18" s="146">
        <v>18.882137669094753</v>
      </c>
      <c r="H18" s="146">
        <v>20.140642859829732</v>
      </c>
      <c r="I18" s="146">
        <v>21.495296577056227</v>
      </c>
      <c r="J18" s="146">
        <v>22.95338457937064</v>
      </c>
      <c r="K18" s="146">
        <v>24.522712143931027</v>
      </c>
      <c r="L18" s="146">
        <v>26.21163784180507</v>
      </c>
      <c r="M18" s="146">
        <v>28.029109263771808</v>
      </c>
      <c r="N18" s="146">
        <v>29.98470079397384</v>
      </c>
      <c r="O18" s="146">
        <v>32.08865353288918</v>
      </c>
      <c r="P18" s="146">
        <v>34.351917475298414</v>
      </c>
      <c r="Q18" s="146">
        <v>36.786196053277095</v>
      </c>
      <c r="R18" s="146">
        <v>39.4039931587265</v>
      </c>
      <c r="S18" s="146">
        <v>42.21866276460424</v>
      </c>
      <c r="T18" s="146">
        <v>45.24446126879825</v>
      </c>
      <c r="U18" s="146">
        <v>48.49660268953599</v>
      </c>
      <c r="V18" s="146">
        <v>51.99131684632002</v>
      </c>
      <c r="W18" s="146">
        <v>55.74591066564521</v>
      </c>
      <c r="X18" s="146">
        <v>59.77883275618169</v>
      </c>
      <c r="Y18" s="146">
        <v>64.10974140370597</v>
      </c>
      <c r="Z18" s="146">
        <v>68.75957614183426</v>
      </c>
      <c r="AA18" s="146">
        <v>73.75063306056191</v>
      </c>
      <c r="AB18" s="146">
        <v>79.1066440207421</v>
      </c>
      <c r="AC18" s="146">
        <v>84.85285994895574</v>
      </c>
      <c r="AD18" s="146">
        <v>91.01613839372816</v>
      </c>
      <c r="AE18" s="146">
        <v>97.62503553075106</v>
      </c>
    </row>
    <row r="19" spans="1:31" ht="12.75">
      <c r="A19" s="145">
        <v>14</v>
      </c>
      <c r="B19" s="146">
        <v>14.947421323762255</v>
      </c>
      <c r="C19" s="146">
        <v>15.973938153143607</v>
      </c>
      <c r="D19" s="146">
        <v>17.086324161837034</v>
      </c>
      <c r="E19" s="146">
        <v>18.291911190070113</v>
      </c>
      <c r="F19" s="146">
        <v>19.598631988787947</v>
      </c>
      <c r="G19" s="146">
        <v>21.015065929240436</v>
      </c>
      <c r="H19" s="146">
        <v>22.55048786001781</v>
      </c>
      <c r="I19" s="146">
        <v>24.214920303220733</v>
      </c>
      <c r="J19" s="146">
        <v>26.019189191513995</v>
      </c>
      <c r="K19" s="146">
        <v>27.97498335832414</v>
      </c>
      <c r="L19" s="146">
        <v>30.09491800440363</v>
      </c>
      <c r="M19" s="146">
        <v>32.39260237542443</v>
      </c>
      <c r="N19" s="146">
        <v>34.882711897190426</v>
      </c>
      <c r="O19" s="146">
        <v>37.58106502749367</v>
      </c>
      <c r="P19" s="146">
        <v>40.50470509659317</v>
      </c>
      <c r="Q19" s="146">
        <v>43.671987421801425</v>
      </c>
      <c r="R19" s="146">
        <v>47.10267199571001</v>
      </c>
      <c r="S19" s="146">
        <v>50.818022062233</v>
      </c>
      <c r="T19" s="146">
        <v>54.84090890986991</v>
      </c>
      <c r="U19" s="146">
        <v>59.19592322744318</v>
      </c>
      <c r="V19" s="146">
        <v>63.90949338404723</v>
      </c>
      <c r="W19" s="146">
        <v>69.01001101208715</v>
      </c>
      <c r="X19" s="146">
        <v>74.52796429010347</v>
      </c>
      <c r="Y19" s="146">
        <v>80.4960793405954</v>
      </c>
      <c r="Z19" s="146">
        <v>86.94947017729282</v>
      </c>
      <c r="AA19" s="146">
        <v>93.925797656308</v>
      </c>
      <c r="AB19" s="146">
        <v>101.46543790634246</v>
      </c>
      <c r="AC19" s="146">
        <v>109.61166073466333</v>
      </c>
      <c r="AD19" s="146">
        <v>118.41081852790931</v>
      </c>
      <c r="AE19" s="146">
        <v>127.9125461899764</v>
      </c>
    </row>
    <row r="20" spans="1:31" ht="12.75">
      <c r="A20" s="145">
        <v>15</v>
      </c>
      <c r="B20" s="146">
        <v>16.096895536999845</v>
      </c>
      <c r="C20" s="146">
        <v>17.29341691620646</v>
      </c>
      <c r="D20" s="146">
        <v>18.59891388669215</v>
      </c>
      <c r="E20" s="146">
        <v>20.023587637672918</v>
      </c>
      <c r="F20" s="146">
        <v>21.578563588227357</v>
      </c>
      <c r="G20" s="146">
        <v>23.275969884994876</v>
      </c>
      <c r="H20" s="146">
        <v>25.129022010219064</v>
      </c>
      <c r="I20" s="146">
        <v>27.152113927478393</v>
      </c>
      <c r="J20" s="146">
        <v>29.360916218750255</v>
      </c>
      <c r="K20" s="146">
        <v>31.772481694156554</v>
      </c>
      <c r="L20" s="146">
        <v>34.405358984888025</v>
      </c>
      <c r="M20" s="146">
        <v>37.279714660475356</v>
      </c>
      <c r="N20" s="146">
        <v>40.41746444382518</v>
      </c>
      <c r="O20" s="146">
        <v>43.84241413134279</v>
      </c>
      <c r="P20" s="146">
        <v>47.580410861082136</v>
      </c>
      <c r="Q20" s="146">
        <v>51.65950540928965</v>
      </c>
      <c r="R20" s="146">
        <v>56.1101262349807</v>
      </c>
      <c r="S20" s="146">
        <v>60.96526603343494</v>
      </c>
      <c r="T20" s="146">
        <v>66.2606816027452</v>
      </c>
      <c r="U20" s="146">
        <v>72.03510787293182</v>
      </c>
      <c r="V20" s="146">
        <v>78.33048699469714</v>
      </c>
      <c r="W20" s="146">
        <v>85.19221343474634</v>
      </c>
      <c r="X20" s="146">
        <v>92.66939607682728</v>
      </c>
      <c r="Y20" s="146">
        <v>100.81513838233832</v>
      </c>
      <c r="Z20" s="146">
        <v>109.68683772161603</v>
      </c>
      <c r="AA20" s="146">
        <v>119.34650504694811</v>
      </c>
      <c r="AB20" s="146">
        <v>129.86110614105493</v>
      </c>
      <c r="AC20" s="146">
        <v>141.3029257403691</v>
      </c>
      <c r="AD20" s="146">
        <v>153.74995590100303</v>
      </c>
      <c r="AE20" s="146">
        <v>167.28631004696933</v>
      </c>
    </row>
    <row r="21" spans="1:31" ht="12.75">
      <c r="A21" s="145">
        <v>16</v>
      </c>
      <c r="B21" s="146">
        <v>17.25786449236988</v>
      </c>
      <c r="C21" s="146">
        <v>18.639285254530602</v>
      </c>
      <c r="D21" s="146">
        <v>20.156881303292902</v>
      </c>
      <c r="E21" s="146">
        <v>21.824531143179843</v>
      </c>
      <c r="F21" s="146">
        <v>23.65749176763872</v>
      </c>
      <c r="G21" s="146">
        <v>25.672528078094555</v>
      </c>
      <c r="H21" s="146">
        <v>27.88805355093439</v>
      </c>
      <c r="I21" s="146">
        <v>30.324283041676665</v>
      </c>
      <c r="J21" s="146">
        <v>33.00339867843778</v>
      </c>
      <c r="K21" s="146">
        <v>35.94972986357221</v>
      </c>
      <c r="L21" s="146">
        <v>39.18994847322572</v>
      </c>
      <c r="M21" s="146">
        <v>42.75328041973241</v>
      </c>
      <c r="N21" s="146">
        <v>46.67173482152245</v>
      </c>
      <c r="O21" s="146">
        <v>50.98035210973079</v>
      </c>
      <c r="P21" s="146">
        <v>55.71747249024444</v>
      </c>
      <c r="Q21" s="146">
        <v>60.925026274775995</v>
      </c>
      <c r="R21" s="146">
        <v>66.64884769492741</v>
      </c>
      <c r="S21" s="146">
        <v>72.93901391945322</v>
      </c>
      <c r="T21" s="146">
        <v>79.85021110726679</v>
      </c>
      <c r="U21" s="146">
        <v>87.44212944751817</v>
      </c>
      <c r="V21" s="146">
        <v>95.77988926358354</v>
      </c>
      <c r="W21" s="146">
        <v>104.93450039039051</v>
      </c>
      <c r="X21" s="146">
        <v>114.98335717449757</v>
      </c>
      <c r="Y21" s="146">
        <v>126.0107715940995</v>
      </c>
      <c r="Z21" s="146">
        <v>138.10854715202004</v>
      </c>
      <c r="AA21" s="146">
        <v>151.37659635915463</v>
      </c>
      <c r="AB21" s="146">
        <v>165.92360479913975</v>
      </c>
      <c r="AC21" s="146">
        <v>181.86774494767243</v>
      </c>
      <c r="AD21" s="146">
        <v>199.33744311229393</v>
      </c>
      <c r="AE21" s="146">
        <v>218.4722030610601</v>
      </c>
    </row>
    <row r="22" spans="1:31" ht="12.75">
      <c r="A22" s="145">
        <v>17</v>
      </c>
      <c r="B22" s="146">
        <v>18.430443137293583</v>
      </c>
      <c r="C22" s="146">
        <v>20.01207095962122</v>
      </c>
      <c r="D22" s="146">
        <v>21.76158774239169</v>
      </c>
      <c r="E22" s="146">
        <v>23.697512388907036</v>
      </c>
      <c r="F22" s="146">
        <v>25.840366356020663</v>
      </c>
      <c r="G22" s="146">
        <v>28.212879762780233</v>
      </c>
      <c r="H22" s="146">
        <v>30.8402172994998</v>
      </c>
      <c r="I22" s="146">
        <v>33.7502256850108</v>
      </c>
      <c r="J22" s="146">
        <v>36.97370455949718</v>
      </c>
      <c r="K22" s="146">
        <v>40.54470284992943</v>
      </c>
      <c r="L22" s="146">
        <v>44.50084280528055</v>
      </c>
      <c r="M22" s="146">
        <v>48.883674070100305</v>
      </c>
      <c r="N22" s="146">
        <v>53.739060348320365</v>
      </c>
      <c r="O22" s="146">
        <v>59.117601405093104</v>
      </c>
      <c r="P22" s="146">
        <v>65.07509336378111</v>
      </c>
      <c r="Q22" s="146">
        <v>71.67303047874015</v>
      </c>
      <c r="R22" s="146">
        <v>78.97915180306506</v>
      </c>
      <c r="S22" s="146">
        <v>87.0680364249548</v>
      </c>
      <c r="T22" s="146">
        <v>96.02175121764748</v>
      </c>
      <c r="U22" s="146">
        <v>105.9305553370218</v>
      </c>
      <c r="V22" s="146">
        <v>116.89366600893608</v>
      </c>
      <c r="W22" s="146">
        <v>129.0200904762764</v>
      </c>
      <c r="X22" s="146">
        <v>142.429529324632</v>
      </c>
      <c r="Y22" s="146">
        <v>157.25335677668335</v>
      </c>
      <c r="Z22" s="146">
        <v>173.63568394002505</v>
      </c>
      <c r="AA22" s="146">
        <v>191.73451141253483</v>
      </c>
      <c r="AB22" s="146">
        <v>211.7229780949075</v>
      </c>
      <c r="AC22" s="146">
        <v>233.7907135330207</v>
      </c>
      <c r="AD22" s="146">
        <v>258.1453016148592</v>
      </c>
      <c r="AE22" s="146">
        <v>285.01386397937813</v>
      </c>
    </row>
    <row r="23" spans="1:31" ht="12.75">
      <c r="A23" s="145">
        <v>18</v>
      </c>
      <c r="B23" s="146">
        <v>19.614747568666523</v>
      </c>
      <c r="C23" s="146">
        <v>21.412312378813635</v>
      </c>
      <c r="D23" s="146">
        <v>23.41443537466344</v>
      </c>
      <c r="E23" s="146">
        <v>25.645412884463326</v>
      </c>
      <c r="F23" s="146">
        <v>28.132384673821694</v>
      </c>
      <c r="G23" s="146">
        <v>30.90565254854705</v>
      </c>
      <c r="H23" s="146">
        <v>33.99903251046479</v>
      </c>
      <c r="I23" s="146">
        <v>37.45024373981167</v>
      </c>
      <c r="J23" s="146">
        <v>41.301337969851936</v>
      </c>
      <c r="K23" s="204">
        <v>45.599173134922374</v>
      </c>
      <c r="L23" s="146">
        <v>50.39593551386142</v>
      </c>
      <c r="M23" s="146">
        <v>55.74971495851235</v>
      </c>
      <c r="N23" s="146">
        <v>61.725138193602</v>
      </c>
      <c r="O23" s="146">
        <v>68.39406560180616</v>
      </c>
      <c r="P23" s="146">
        <v>75.83635736834826</v>
      </c>
      <c r="Q23" s="146">
        <v>84.14071535533857</v>
      </c>
      <c r="R23" s="146">
        <v>93.40560760958613</v>
      </c>
      <c r="S23" s="146">
        <v>103.74028298144667</v>
      </c>
      <c r="T23" s="146">
        <v>115.26588394900048</v>
      </c>
      <c r="U23" s="146">
        <v>128.11666640442616</v>
      </c>
      <c r="V23" s="146">
        <v>142.44133587081265</v>
      </c>
      <c r="W23" s="146">
        <v>158.4045103810572</v>
      </c>
      <c r="X23" s="146">
        <v>176.18832106929733</v>
      </c>
      <c r="Y23" s="146">
        <v>195.9941624030874</v>
      </c>
      <c r="Z23" s="146">
        <v>218.0446049250313</v>
      </c>
      <c r="AA23" s="146">
        <v>242.58548437979388</v>
      </c>
      <c r="AB23" s="146">
        <v>269.8881821805325</v>
      </c>
      <c r="AC23" s="146">
        <v>300.25211332226655</v>
      </c>
      <c r="AD23" s="146">
        <v>334.0074390831683</v>
      </c>
      <c r="AE23" s="146">
        <v>371.51802317319164</v>
      </c>
    </row>
    <row r="24" spans="1:31" ht="12.75">
      <c r="A24" s="145">
        <v>19</v>
      </c>
      <c r="B24" s="146">
        <v>20.81089504435316</v>
      </c>
      <c r="C24" s="146">
        <v>22.840558626389907</v>
      </c>
      <c r="D24" s="146">
        <v>25.116868435903342</v>
      </c>
      <c r="E24" s="146">
        <v>27.671229399841856</v>
      </c>
      <c r="F24" s="146">
        <v>30.53900390751278</v>
      </c>
      <c r="G24" s="146">
        <v>33.759991701459874</v>
      </c>
      <c r="H24" s="146">
        <v>37.37896478619732</v>
      </c>
      <c r="I24" s="146">
        <v>41.44626323899661</v>
      </c>
      <c r="J24" s="146">
        <v>46.018458387138615</v>
      </c>
      <c r="K24" s="146">
        <v>51.15909044841463</v>
      </c>
      <c r="L24" s="146">
        <v>56.939488420386176</v>
      </c>
      <c r="M24" s="146">
        <v>63.439680753533835</v>
      </c>
      <c r="N24" s="146">
        <v>70.74940615877024</v>
      </c>
      <c r="O24" s="146">
        <v>78.96923478605902</v>
      </c>
      <c r="P24" s="146">
        <v>88.21181097360049</v>
      </c>
      <c r="Q24" s="146">
        <v>98.60322981219274</v>
      </c>
      <c r="R24" s="146">
        <v>110.28456090321576</v>
      </c>
      <c r="S24" s="146">
        <v>123.41353391810705</v>
      </c>
      <c r="T24" s="146">
        <v>138.16640189931059</v>
      </c>
      <c r="U24" s="146">
        <v>154.7399996853114</v>
      </c>
      <c r="V24" s="146">
        <v>173.35401640368332</v>
      </c>
      <c r="W24" s="146">
        <v>194.2535026648898</v>
      </c>
      <c r="X24" s="146">
        <v>217.71163491523575</v>
      </c>
      <c r="Y24" s="146">
        <v>244.03276137982837</v>
      </c>
      <c r="Z24" s="146">
        <v>273.55575615628914</v>
      </c>
      <c r="AA24" s="146">
        <v>306.6577103185403</v>
      </c>
      <c r="AB24" s="146">
        <v>343.7579913692763</v>
      </c>
      <c r="AC24" s="146">
        <v>385.3227050525012</v>
      </c>
      <c r="AD24" s="146">
        <v>431.86959641728714</v>
      </c>
      <c r="AE24" s="146">
        <v>483.9734301251492</v>
      </c>
    </row>
    <row r="25" spans="1:31" ht="12.75">
      <c r="A25" s="145">
        <v>20</v>
      </c>
      <c r="B25" s="146">
        <v>22.019003994796705</v>
      </c>
      <c r="C25" s="146">
        <v>24.29736979891771</v>
      </c>
      <c r="D25" s="146">
        <v>26.870374488980442</v>
      </c>
      <c r="E25" s="146">
        <v>29.77807857583553</v>
      </c>
      <c r="F25" s="146">
        <v>33.06595410288841</v>
      </c>
      <c r="G25" s="146">
        <v>36.78559120354747</v>
      </c>
      <c r="H25" s="146">
        <v>40.99549232123113</v>
      </c>
      <c r="I25" s="146">
        <v>45.76196429811633</v>
      </c>
      <c r="J25" s="146">
        <v>51.16011964198108</v>
      </c>
      <c r="K25" s="146">
        <v>57.27499949325609</v>
      </c>
      <c r="L25" s="146">
        <v>64.20283214662867</v>
      </c>
      <c r="M25" s="204">
        <v>72.05244244395789</v>
      </c>
      <c r="N25" s="146">
        <v>80.94682895941037</v>
      </c>
      <c r="O25" s="146">
        <v>91.0249276561073</v>
      </c>
      <c r="P25" s="146">
        <v>102.44358261964055</v>
      </c>
      <c r="Q25" s="146">
        <v>115.37974658214355</v>
      </c>
      <c r="R25" s="146">
        <v>130.0329362567624</v>
      </c>
      <c r="S25" s="146">
        <v>146.6279700233663</v>
      </c>
      <c r="T25" s="146">
        <v>165.41801826017957</v>
      </c>
      <c r="U25" s="146">
        <v>186.68799962237367</v>
      </c>
      <c r="V25" s="146">
        <v>210.7583598484568</v>
      </c>
      <c r="W25" s="146">
        <v>237.9892732511655</v>
      </c>
      <c r="X25" s="146">
        <v>268.78531094574</v>
      </c>
      <c r="Y25" s="146">
        <v>303.60062411098716</v>
      </c>
      <c r="Z25" s="146">
        <v>342.9446951953614</v>
      </c>
      <c r="AA25" s="146">
        <v>387.38871500136077</v>
      </c>
      <c r="AB25" s="146">
        <v>437.57264903898084</v>
      </c>
      <c r="AC25" s="146">
        <v>494.21306246720144</v>
      </c>
      <c r="AD25" s="146">
        <v>558.1117793783005</v>
      </c>
      <c r="AE25" s="146">
        <v>630.1654591626939</v>
      </c>
    </row>
    <row r="26" spans="1:31" ht="12.75">
      <c r="A26" s="145">
        <v>21</v>
      </c>
      <c r="B26" s="146">
        <v>23.23919403474466</v>
      </c>
      <c r="C26" s="146">
        <v>25.78331719489606</v>
      </c>
      <c r="D26" s="146">
        <v>28.676485723649847</v>
      </c>
      <c r="E26" s="146">
        <v>31.969201718868966</v>
      </c>
      <c r="F26" s="146">
        <v>35.71925180803284</v>
      </c>
      <c r="G26" s="146">
        <v>39.99272667576033</v>
      </c>
      <c r="H26" s="146">
        <v>44.86517678371732</v>
      </c>
      <c r="I26" s="146">
        <v>50.42292144196564</v>
      </c>
      <c r="J26" s="146">
        <v>56.764530409759395</v>
      </c>
      <c r="K26" s="146">
        <v>64.00249944258171</v>
      </c>
      <c r="L26" s="146">
        <v>72.26514368275782</v>
      </c>
      <c r="M26" s="146">
        <v>81.69873553723285</v>
      </c>
      <c r="N26" s="146">
        <v>92.4699167241337</v>
      </c>
      <c r="O26" s="146">
        <v>104.76841752796233</v>
      </c>
      <c r="P26" s="146">
        <v>118.81012001258664</v>
      </c>
      <c r="Q26" s="146">
        <v>134.84050603528655</v>
      </c>
      <c r="R26" s="146">
        <v>153.138535420412</v>
      </c>
      <c r="S26" s="146">
        <v>174.0210046275722</v>
      </c>
      <c r="T26" s="146">
        <v>197.84744172961368</v>
      </c>
      <c r="U26" s="146">
        <v>225.0255995468484</v>
      </c>
      <c r="V26" s="146">
        <v>256.0176154166327</v>
      </c>
      <c r="W26" s="146">
        <v>291.3469133664219</v>
      </c>
      <c r="X26" s="146">
        <v>331.6059324632601</v>
      </c>
      <c r="Y26" s="146">
        <v>377.46477389762407</v>
      </c>
      <c r="Z26" s="146">
        <v>429.6808689942018</v>
      </c>
      <c r="AA26" s="146">
        <v>489.1097809017146</v>
      </c>
      <c r="AB26" s="146">
        <v>556.7172642795057</v>
      </c>
      <c r="AC26" s="146">
        <v>633.5927199580178</v>
      </c>
      <c r="AD26" s="146">
        <v>720.9641953980076</v>
      </c>
      <c r="AE26" s="146">
        <v>820.2150969115021</v>
      </c>
    </row>
    <row r="27" spans="1:31" ht="12.75">
      <c r="A27" s="145">
        <v>22</v>
      </c>
      <c r="B27" s="146">
        <v>24.471585975092136</v>
      </c>
      <c r="C27" s="146">
        <v>27.298983538793987</v>
      </c>
      <c r="D27" s="146">
        <v>30.53678029535935</v>
      </c>
      <c r="E27" s="146">
        <v>34.247969787623724</v>
      </c>
      <c r="F27" s="146">
        <v>38.505214398434475</v>
      </c>
      <c r="G27" s="146">
        <v>43.39229027630595</v>
      </c>
      <c r="H27" s="146">
        <v>49.005739158577526</v>
      </c>
      <c r="I27" s="146">
        <v>55.4567551573229</v>
      </c>
      <c r="J27" s="146">
        <v>62.87333814663774</v>
      </c>
      <c r="K27" s="146">
        <v>71.40274938683989</v>
      </c>
      <c r="L27" s="146">
        <v>81.21430948786119</v>
      </c>
      <c r="M27" s="146">
        <v>92.50258380170081</v>
      </c>
      <c r="N27" s="146">
        <v>105.49100589827107</v>
      </c>
      <c r="O27" s="146">
        <v>120.43599598187706</v>
      </c>
      <c r="P27" s="146">
        <v>137.63163801447462</v>
      </c>
      <c r="Q27" s="146">
        <v>157.4149870009324</v>
      </c>
      <c r="R27" s="146">
        <v>180.17208644188204</v>
      </c>
      <c r="S27" s="146">
        <v>206.3447854605352</v>
      </c>
      <c r="T27" s="146">
        <v>236.43845565824026</v>
      </c>
      <c r="U27" s="146">
        <v>271.03071945621804</v>
      </c>
      <c r="V27" s="146">
        <v>310.7813146541256</v>
      </c>
      <c r="W27" s="146">
        <v>356.44323430703474</v>
      </c>
      <c r="X27" s="146">
        <v>408.87529692980996</v>
      </c>
      <c r="Y27" s="146">
        <v>469.0563196330539</v>
      </c>
      <c r="Z27" s="146">
        <v>538.1010862427522</v>
      </c>
      <c r="AA27" s="146">
        <v>617.2783239361604</v>
      </c>
      <c r="AB27" s="146">
        <v>708.0309256349723</v>
      </c>
      <c r="AC27" s="146">
        <v>811.9986815462629</v>
      </c>
      <c r="AD27" s="146">
        <v>931.04381206343</v>
      </c>
      <c r="AE27" s="146">
        <v>1067.2796259849529</v>
      </c>
    </row>
    <row r="28" spans="1:31" ht="12.75">
      <c r="A28" s="145">
        <v>23</v>
      </c>
      <c r="B28" s="146">
        <v>25.716301834843037</v>
      </c>
      <c r="C28" s="146">
        <v>28.84496320956985</v>
      </c>
      <c r="D28" s="146">
        <v>32.452883704220135</v>
      </c>
      <c r="E28" s="146">
        <v>36.61788857912867</v>
      </c>
      <c r="F28" s="146">
        <v>41.430475118356206</v>
      </c>
      <c r="G28" s="146">
        <v>46.99582769288432</v>
      </c>
      <c r="H28" s="146">
        <v>53.43614089967795</v>
      </c>
      <c r="I28" s="146">
        <v>60.89329556990873</v>
      </c>
      <c r="J28" s="146">
        <v>69.53193857983514</v>
      </c>
      <c r="K28" s="146">
        <v>79.54302432552389</v>
      </c>
      <c r="L28" s="146">
        <v>91.1478835315259</v>
      </c>
      <c r="M28" s="146">
        <v>104.60289385790489</v>
      </c>
      <c r="N28" s="146">
        <v>120.2048366650463</v>
      </c>
      <c r="O28" s="146">
        <v>138.2970354193399</v>
      </c>
      <c r="P28" s="146">
        <v>159.2763837166458</v>
      </c>
      <c r="Q28" s="146">
        <v>183.60138492108155</v>
      </c>
      <c r="R28" s="146">
        <v>211.80134113700197</v>
      </c>
      <c r="S28" s="146">
        <v>244.48684684343155</v>
      </c>
      <c r="T28" s="146">
        <v>282.36176223330597</v>
      </c>
      <c r="U28" s="146">
        <v>326.2368633474617</v>
      </c>
      <c r="V28" s="146">
        <v>377.0453907314919</v>
      </c>
      <c r="W28" s="146">
        <v>435.86074585458243</v>
      </c>
      <c r="X28" s="146">
        <v>503.91661522366627</v>
      </c>
      <c r="Y28" s="146">
        <v>582.6298363449869</v>
      </c>
      <c r="Z28" s="146">
        <v>673.6263578034402</v>
      </c>
      <c r="AA28" s="146">
        <v>778.7706881595623</v>
      </c>
      <c r="AB28" s="146">
        <v>900.1992755564147</v>
      </c>
      <c r="AC28" s="146">
        <v>1040.3583123792166</v>
      </c>
      <c r="AD28" s="146">
        <v>1202.0465175618247</v>
      </c>
      <c r="AE28" s="146">
        <v>1388.4635137804387</v>
      </c>
    </row>
    <row r="29" spans="1:31" ht="12.75">
      <c r="A29" s="145">
        <v>24</v>
      </c>
      <c r="B29" s="146">
        <v>26.973464853191498</v>
      </c>
      <c r="C29" s="146">
        <v>30.42186247376125</v>
      </c>
      <c r="D29" s="146">
        <v>34.426470215346725</v>
      </c>
      <c r="E29" s="146">
        <v>39.082604122293816</v>
      </c>
      <c r="F29" s="146">
        <v>44.50199887427401</v>
      </c>
      <c r="G29" s="146">
        <v>50.81557735445737</v>
      </c>
      <c r="H29" s="146">
        <v>58.17667076265541</v>
      </c>
      <c r="I29" s="146">
        <v>66.76475921550143</v>
      </c>
      <c r="J29" s="146">
        <v>76.7898130520203</v>
      </c>
      <c r="K29" s="146">
        <v>88.49732675807626</v>
      </c>
      <c r="L29" s="146">
        <v>102.17415071999379</v>
      </c>
      <c r="M29" s="146">
        <v>118.15524112085349</v>
      </c>
      <c r="N29" s="146">
        <v>136.83146543150232</v>
      </c>
      <c r="O29" s="146">
        <v>158.6586203780475</v>
      </c>
      <c r="P29" s="146">
        <v>184.16784127414263</v>
      </c>
      <c r="Q29" s="146">
        <v>213.9776065084546</v>
      </c>
      <c r="R29" s="146">
        <v>248.80756913029225</v>
      </c>
      <c r="S29" s="146">
        <v>289.4944792752492</v>
      </c>
      <c r="T29" s="146">
        <v>337.0104970576341</v>
      </c>
      <c r="U29" s="146">
        <v>392.48423601695396</v>
      </c>
      <c r="V29" s="146">
        <v>457.2249227851052</v>
      </c>
      <c r="W29" s="146">
        <v>532.7501099425905</v>
      </c>
      <c r="X29" s="146">
        <v>620.8174367251095</v>
      </c>
      <c r="Y29" s="146">
        <v>723.4609970677836</v>
      </c>
      <c r="Z29" s="146">
        <v>843.0329472543003</v>
      </c>
      <c r="AA29" s="146">
        <v>982.2510670810485</v>
      </c>
      <c r="AB29" s="146">
        <v>1144.2530799566468</v>
      </c>
      <c r="AC29" s="146">
        <v>1332.6586398453971</v>
      </c>
      <c r="AD29" s="146">
        <v>1551.6400076547538</v>
      </c>
      <c r="AE29" s="146">
        <v>1806.0025679145701</v>
      </c>
    </row>
    <row r="30" spans="1:31" ht="12.75">
      <c r="A30" s="145">
        <v>25</v>
      </c>
      <c r="B30" s="146">
        <v>28.243199501723424</v>
      </c>
      <c r="C30" s="146">
        <v>32.030299723236475</v>
      </c>
      <c r="D30" s="146">
        <v>36.459264321807126</v>
      </c>
      <c r="E30" s="146">
        <v>41.645908287185584</v>
      </c>
      <c r="F30" s="146">
        <v>47.72709881798772</v>
      </c>
      <c r="G30" s="146">
        <v>54.864511995724804</v>
      </c>
      <c r="H30" s="146">
        <v>63.24903771604129</v>
      </c>
      <c r="I30" s="146">
        <v>73.10593995274156</v>
      </c>
      <c r="J30" s="146">
        <v>84.70089622670216</v>
      </c>
      <c r="K30" s="146">
        <v>98.3470594338839</v>
      </c>
      <c r="L30" s="146">
        <v>114.41330729919312</v>
      </c>
      <c r="M30" s="146">
        <v>133.33387005535593</v>
      </c>
      <c r="N30" s="146">
        <v>155.6195559375976</v>
      </c>
      <c r="O30" s="146">
        <v>181.87082723097413</v>
      </c>
      <c r="P30" s="146">
        <v>212.793017465264</v>
      </c>
      <c r="Q30" s="146">
        <v>249.2140235498073</v>
      </c>
      <c r="R30" s="146">
        <v>292.10485588244194</v>
      </c>
      <c r="S30" s="146">
        <v>342.60348554479407</v>
      </c>
      <c r="T30" s="146">
        <v>402.0424914985846</v>
      </c>
      <c r="U30" s="146">
        <v>471.98108322034483</v>
      </c>
      <c r="V30" s="146">
        <v>554.2421565699773</v>
      </c>
      <c r="W30" s="146">
        <v>650.9551341299604</v>
      </c>
      <c r="X30" s="146">
        <v>764.6054471718846</v>
      </c>
      <c r="Y30" s="146">
        <v>898.0916363640517</v>
      </c>
      <c r="Z30" s="146">
        <v>1054.7911840678755</v>
      </c>
      <c r="AA30" s="146">
        <v>1238.6363445221211</v>
      </c>
      <c r="AB30" s="146">
        <v>1454.201411544941</v>
      </c>
      <c r="AC30" s="146">
        <v>1706.8030590021083</v>
      </c>
      <c r="AD30" s="146">
        <v>2002.6156098746326</v>
      </c>
      <c r="AE30" s="146">
        <v>2348.8033382889416</v>
      </c>
    </row>
    <row r="31" spans="1:31" ht="12.75">
      <c r="A31" s="145">
        <v>26</v>
      </c>
      <c r="B31" s="146">
        <v>29.525631496740655</v>
      </c>
      <c r="C31" s="146">
        <v>33.67090571770122</v>
      </c>
      <c r="D31" s="146">
        <v>38.553042251461356</v>
      </c>
      <c r="E31" s="146">
        <v>44.311744618672996</v>
      </c>
      <c r="F31" s="146">
        <v>51.113453758887104</v>
      </c>
      <c r="G31" s="146">
        <v>59.1563827154683</v>
      </c>
      <c r="H31" s="146">
        <v>68.67647035616417</v>
      </c>
      <c r="I31" s="146">
        <v>79.95441514896088</v>
      </c>
      <c r="J31" s="146">
        <v>93.32397688710536</v>
      </c>
      <c r="K31" s="146">
        <v>109.1817653772723</v>
      </c>
      <c r="L31" s="146">
        <v>127.99877110210437</v>
      </c>
      <c r="M31" s="146">
        <v>150.33393446199864</v>
      </c>
      <c r="N31" s="146">
        <v>176.85009820948525</v>
      </c>
      <c r="O31" s="146">
        <v>208.33274304331056</v>
      </c>
      <c r="P31" s="146">
        <v>245.71197008505362</v>
      </c>
      <c r="Q31" s="146">
        <v>290.08826731777646</v>
      </c>
      <c r="R31" s="146">
        <v>342.76268138245706</v>
      </c>
      <c r="S31" s="146">
        <v>405.27211294285695</v>
      </c>
      <c r="T31" s="146">
        <v>479.43056488331564</v>
      </c>
      <c r="U31" s="146">
        <v>567.3772998644138</v>
      </c>
      <c r="V31" s="146">
        <v>671.6330094496725</v>
      </c>
      <c r="W31" s="146">
        <v>795.1652636385517</v>
      </c>
      <c r="X31" s="146">
        <v>941.464700021418</v>
      </c>
      <c r="Y31" s="146">
        <v>1114.6336290914242</v>
      </c>
      <c r="Z31" s="146">
        <v>1319.4889800848443</v>
      </c>
      <c r="AA31" s="146">
        <v>1561.6817940978724</v>
      </c>
      <c r="AB31" s="146">
        <v>1847.8357926620756</v>
      </c>
      <c r="AC31" s="146">
        <v>2185.707915522699</v>
      </c>
      <c r="AD31" s="146">
        <v>2584.374136738276</v>
      </c>
      <c r="AE31" s="146">
        <v>3054.444339775624</v>
      </c>
    </row>
    <row r="32" spans="1:31" ht="12.75">
      <c r="A32" s="145">
        <v>27</v>
      </c>
      <c r="B32" s="146">
        <v>30.82088781170802</v>
      </c>
      <c r="C32" s="146">
        <v>35.344323832055224</v>
      </c>
      <c r="D32" s="146">
        <v>40.70963351900519</v>
      </c>
      <c r="E32" s="146">
        <v>47.08421440341992</v>
      </c>
      <c r="F32" s="146">
        <v>54.66912644683146</v>
      </c>
      <c r="G32" s="146">
        <v>63.70576567839641</v>
      </c>
      <c r="H32" s="146">
        <v>74.4838232810957</v>
      </c>
      <c r="I32" s="146">
        <v>87.35076836087775</v>
      </c>
      <c r="J32" s="146">
        <v>102.72313480694483</v>
      </c>
      <c r="K32" s="146">
        <v>121.09994191499955</v>
      </c>
      <c r="L32" s="146">
        <v>143.07863592333587</v>
      </c>
      <c r="M32" s="146">
        <v>169.37400659743852</v>
      </c>
      <c r="N32" s="146">
        <v>200.8406109767183</v>
      </c>
      <c r="O32" s="146">
        <v>238.49932706937406</v>
      </c>
      <c r="P32" s="146">
        <v>283.56876559781165</v>
      </c>
      <c r="Q32" s="146">
        <v>337.5023900886207</v>
      </c>
      <c r="R32" s="146">
        <v>402.0323372174748</v>
      </c>
      <c r="S32" s="146">
        <v>479.22109327257124</v>
      </c>
      <c r="T32" s="146">
        <v>571.5223722111456</v>
      </c>
      <c r="U32" s="146">
        <v>681.8527598372965</v>
      </c>
      <c r="V32" s="146">
        <v>813.6759414341036</v>
      </c>
      <c r="W32" s="146">
        <v>971.1016216390328</v>
      </c>
      <c r="X32" s="146">
        <v>1159.001581026344</v>
      </c>
      <c r="Y32" s="146">
        <v>1383.145700073366</v>
      </c>
      <c r="Z32" s="146">
        <v>1650.3612251060554</v>
      </c>
      <c r="AA32" s="146">
        <v>1968.7190605633195</v>
      </c>
      <c r="AB32" s="146">
        <v>2347.7514566808354</v>
      </c>
      <c r="AC32" s="146">
        <v>2798.706131869055</v>
      </c>
      <c r="AD32" s="146">
        <v>3334.8426363923763</v>
      </c>
      <c r="AE32" s="146">
        <v>3971.777641708312</v>
      </c>
    </row>
    <row r="33" spans="1:31" ht="12.75">
      <c r="A33" s="145">
        <v>28</v>
      </c>
      <c r="B33" s="146">
        <v>32.12909668982511</v>
      </c>
      <c r="C33" s="146">
        <v>37.05121030869635</v>
      </c>
      <c r="D33" s="146">
        <v>42.930922524575344</v>
      </c>
      <c r="E33" s="146">
        <v>49.96758297955673</v>
      </c>
      <c r="F33" s="146">
        <v>58.40258276917302</v>
      </c>
      <c r="G33" s="146">
        <v>68.5281116191002</v>
      </c>
      <c r="H33" s="146">
        <v>80.69769091077237</v>
      </c>
      <c r="I33" s="146">
        <v>95.33882982974797</v>
      </c>
      <c r="J33" s="146">
        <v>112.96821693956987</v>
      </c>
      <c r="K33" s="146">
        <v>134.2099361064995</v>
      </c>
      <c r="L33" s="146">
        <v>159.81728587490284</v>
      </c>
      <c r="M33" s="146">
        <v>190.69888738913113</v>
      </c>
      <c r="N33" s="146">
        <v>227.94989040369165</v>
      </c>
      <c r="O33" s="146">
        <v>272.88923285908646</v>
      </c>
      <c r="P33" s="146">
        <v>327.10408043748333</v>
      </c>
      <c r="Q33" s="146">
        <v>392.5027725028</v>
      </c>
      <c r="R33" s="146">
        <v>471.37783454444536</v>
      </c>
      <c r="S33" s="146">
        <v>566.4808900616339</v>
      </c>
      <c r="T33" s="146">
        <v>681.1116229312632</v>
      </c>
      <c r="U33" s="146">
        <v>819.2233118047558</v>
      </c>
      <c r="V33" s="146">
        <v>985.5478891352653</v>
      </c>
      <c r="W33" s="146">
        <v>1185.7439783996201</v>
      </c>
      <c r="X33" s="146">
        <v>1426.5719446624032</v>
      </c>
      <c r="Y33" s="146">
        <v>1716.100668090974</v>
      </c>
      <c r="Z33" s="146">
        <v>2063.951531382569</v>
      </c>
      <c r="AA33" s="146">
        <v>2481.5860163097827</v>
      </c>
      <c r="AB33" s="146">
        <v>2982.6443499846614</v>
      </c>
      <c r="AC33" s="146">
        <v>3583.3438487923895</v>
      </c>
      <c r="AD33" s="146">
        <v>4302.947000946165</v>
      </c>
      <c r="AE33" s="146">
        <v>5164.310934220805</v>
      </c>
    </row>
    <row r="34" spans="1:31" ht="12.75">
      <c r="A34" s="145">
        <v>29</v>
      </c>
      <c r="B34" s="146">
        <v>33.450387656723365</v>
      </c>
      <c r="C34" s="146">
        <v>38.79223451487026</v>
      </c>
      <c r="D34" s="146">
        <v>45.218850200312595</v>
      </c>
      <c r="E34" s="146">
        <v>52.96628629873901</v>
      </c>
      <c r="F34" s="146">
        <v>62.32271190763169</v>
      </c>
      <c r="G34" s="146">
        <v>73.63979831624621</v>
      </c>
      <c r="H34" s="146">
        <v>87.34652927452643</v>
      </c>
      <c r="I34" s="146">
        <v>103.96593621612782</v>
      </c>
      <c r="J34" s="146">
        <v>124.13535646413116</v>
      </c>
      <c r="K34" s="146">
        <v>148.63092971714946</v>
      </c>
      <c r="L34" s="146">
        <v>178.39718732114213</v>
      </c>
      <c r="M34" s="146">
        <v>214.58275387582688</v>
      </c>
      <c r="N34" s="146">
        <v>258.5833761561716</v>
      </c>
      <c r="O34" s="146">
        <v>312.0937254593586</v>
      </c>
      <c r="P34" s="146">
        <v>377.1696925031058</v>
      </c>
      <c r="Q34" s="146">
        <v>456.30321610324796</v>
      </c>
      <c r="R34" s="146">
        <v>552.512066417001</v>
      </c>
      <c r="S34" s="146">
        <v>669.447450272728</v>
      </c>
      <c r="T34" s="146">
        <v>811.5228312882031</v>
      </c>
      <c r="U34" s="146">
        <v>984.0679741657069</v>
      </c>
      <c r="V34" s="146">
        <v>1193.512945853671</v>
      </c>
      <c r="W34" s="146">
        <v>1447.6076536475364</v>
      </c>
      <c r="X34" s="146">
        <v>1755.6834919347561</v>
      </c>
      <c r="Y34" s="146">
        <v>2128.9648284328077</v>
      </c>
      <c r="Z34" s="146">
        <v>2580.9394142282113</v>
      </c>
      <c r="AA34" s="146">
        <v>3127.798380550326</v>
      </c>
      <c r="AB34" s="146">
        <v>3788.9583244805194</v>
      </c>
      <c r="AC34" s="146">
        <v>4587.680126454259</v>
      </c>
      <c r="AD34" s="146">
        <v>5551.801631220554</v>
      </c>
      <c r="AE34" s="146">
        <v>6714.604214487048</v>
      </c>
    </row>
    <row r="35" spans="1:31" ht="12.75">
      <c r="A35" s="145">
        <v>30</v>
      </c>
      <c r="B35" s="146">
        <v>34.784891533290626</v>
      </c>
      <c r="C35" s="146">
        <v>40.56807920516767</v>
      </c>
      <c r="D35" s="146">
        <v>47.57541570632197</v>
      </c>
      <c r="E35" s="146">
        <v>56.08493775068855</v>
      </c>
      <c r="F35" s="146">
        <v>66.43884750301325</v>
      </c>
      <c r="G35" s="146">
        <v>79.058186215221</v>
      </c>
      <c r="H35" s="146">
        <v>94.46078632374328</v>
      </c>
      <c r="I35" s="146">
        <v>113.28321111341806</v>
      </c>
      <c r="J35" s="146">
        <v>136.307538545903</v>
      </c>
      <c r="K35" s="146">
        <v>164.49402268886445</v>
      </c>
      <c r="L35" s="146">
        <v>199.02087792646776</v>
      </c>
      <c r="M35" s="146">
        <v>241.33268434092614</v>
      </c>
      <c r="N35" s="146">
        <v>293.1992150564738</v>
      </c>
      <c r="O35" s="146">
        <v>356.7868470236689</v>
      </c>
      <c r="P35" s="146">
        <v>434.7451463785717</v>
      </c>
      <c r="Q35" s="146">
        <v>530.3117306797676</v>
      </c>
      <c r="R35" s="146">
        <v>647.4391177078912</v>
      </c>
      <c r="S35" s="146">
        <v>790.947991321819</v>
      </c>
      <c r="T35" s="146">
        <v>966.7121692329617</v>
      </c>
      <c r="U35" s="146">
        <v>1181.8815689988483</v>
      </c>
      <c r="V35" s="146">
        <v>1445.150664482942</v>
      </c>
      <c r="W35" s="146">
        <v>1767.0813374499942</v>
      </c>
      <c r="X35" s="146">
        <v>2160.4906950797495</v>
      </c>
      <c r="Y35" s="146">
        <v>2640.916387256682</v>
      </c>
      <c r="Z35" s="146">
        <v>3227.1742677852644</v>
      </c>
      <c r="AA35" s="146">
        <v>3942.0259594934105</v>
      </c>
      <c r="AB35" s="146">
        <v>4812.97707209026</v>
      </c>
      <c r="AC35" s="146">
        <v>5873.230561861451</v>
      </c>
      <c r="AD35" s="146">
        <v>7162.824104274514</v>
      </c>
      <c r="AE35" s="146">
        <v>8729.985478833161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10.625" style="0" bestFit="1" customWidth="1"/>
    <col min="2" max="10" width="7.625" style="0" bestFit="1" customWidth="1"/>
    <col min="11" max="31" width="6.625" style="0" bestFit="1" customWidth="1"/>
  </cols>
  <sheetData>
    <row r="1" spans="1:2" ht="12.75">
      <c r="A1" t="s">
        <v>44</v>
      </c>
      <c r="B1">
        <v>1</v>
      </c>
    </row>
    <row r="2" spans="1:2" ht="12.75">
      <c r="A2" t="s">
        <v>147</v>
      </c>
      <c r="B2">
        <v>0.01</v>
      </c>
    </row>
    <row r="3" spans="1:2" ht="12.75">
      <c r="A3" t="s">
        <v>46</v>
      </c>
      <c r="B3">
        <v>1</v>
      </c>
    </row>
    <row r="4" spans="1:2" ht="12.75">
      <c r="A4" t="s">
        <v>148</v>
      </c>
      <c r="B4" s="146">
        <f>$B$1*(((1-((1/(1+B2)^B3)))/B2))</f>
        <v>0.990099009900991</v>
      </c>
    </row>
    <row r="5" spans="1:31" ht="12.75">
      <c r="A5" s="147">
        <f>B4</f>
        <v>0.990099009900991</v>
      </c>
      <c r="B5" s="153">
        <v>0.01</v>
      </c>
      <c r="C5" s="153">
        <v>0.02</v>
      </c>
      <c r="D5" s="153">
        <v>0.03</v>
      </c>
      <c r="E5" s="153">
        <v>0.04</v>
      </c>
      <c r="F5" s="153">
        <v>0.05</v>
      </c>
      <c r="G5" s="153">
        <v>0.06</v>
      </c>
      <c r="H5" s="153">
        <v>0.07</v>
      </c>
      <c r="I5" s="153">
        <v>0.08</v>
      </c>
      <c r="J5" s="153">
        <v>0.09</v>
      </c>
      <c r="K5" s="153">
        <v>0.1</v>
      </c>
      <c r="L5" s="153">
        <v>0.11</v>
      </c>
      <c r="M5" s="153">
        <v>0.12</v>
      </c>
      <c r="N5" s="153">
        <v>0.13</v>
      </c>
      <c r="O5" s="153">
        <v>0.14</v>
      </c>
      <c r="P5" s="153">
        <v>0.15</v>
      </c>
      <c r="Q5" s="153">
        <v>0.16</v>
      </c>
      <c r="R5" s="153">
        <v>0.17</v>
      </c>
      <c r="S5" s="153">
        <v>0.18</v>
      </c>
      <c r="T5" s="153">
        <v>0.19</v>
      </c>
      <c r="U5" s="153">
        <v>0.2</v>
      </c>
      <c r="V5" s="153">
        <v>0.21</v>
      </c>
      <c r="W5" s="153">
        <v>0.22</v>
      </c>
      <c r="X5" s="153">
        <v>0.23</v>
      </c>
      <c r="Y5" s="153">
        <v>0.24</v>
      </c>
      <c r="Z5" s="153">
        <v>0.25</v>
      </c>
      <c r="AA5" s="153">
        <v>0.26</v>
      </c>
      <c r="AB5" s="153">
        <v>0.27</v>
      </c>
      <c r="AC5" s="153">
        <v>0.28</v>
      </c>
      <c r="AD5" s="153">
        <v>0.29</v>
      </c>
      <c r="AE5" s="153">
        <v>0.3</v>
      </c>
    </row>
    <row r="6" spans="1:31" ht="12.75">
      <c r="A6" s="145">
        <v>1</v>
      </c>
      <c r="B6" s="146">
        <v>0.990099009900991</v>
      </c>
      <c r="C6" s="146">
        <v>0.9803921568627472</v>
      </c>
      <c r="D6" s="146">
        <v>0.9708737864077666</v>
      </c>
      <c r="E6" s="146">
        <v>0.9615384615384637</v>
      </c>
      <c r="F6" s="146">
        <v>0.9523809523809534</v>
      </c>
      <c r="G6" s="146">
        <v>0.943396226415096</v>
      </c>
      <c r="H6" s="146">
        <v>0.9345794392523364</v>
      </c>
      <c r="I6" s="146">
        <v>0.9259259259259273</v>
      </c>
      <c r="J6" s="146">
        <v>0.9174311926605512</v>
      </c>
      <c r="K6" s="146">
        <v>0.9090909090909094</v>
      </c>
      <c r="L6" s="146">
        <v>0.9009009009009018</v>
      </c>
      <c r="M6" s="146">
        <v>0.8928571428571435</v>
      </c>
      <c r="N6" s="146">
        <v>0.884955752212389</v>
      </c>
      <c r="O6" s="146">
        <v>0.8771929824561406</v>
      </c>
      <c r="P6" s="146">
        <v>0.8695652173913038</v>
      </c>
      <c r="Q6" s="146">
        <v>0.862068965517241</v>
      </c>
      <c r="R6" s="146">
        <v>0.8547008547008542</v>
      </c>
      <c r="S6" s="146">
        <v>0.8474576271186437</v>
      </c>
      <c r="T6" s="146">
        <v>0.8403361344537814</v>
      </c>
      <c r="U6" s="146">
        <v>0.8333333333333331</v>
      </c>
      <c r="V6" s="146">
        <v>0.8264462809917354</v>
      </c>
      <c r="W6" s="146">
        <v>0.8196721311475409</v>
      </c>
      <c r="X6" s="146">
        <v>0.8130081300813009</v>
      </c>
      <c r="Y6" s="146">
        <v>0.8064516129032255</v>
      </c>
      <c r="Z6" s="146">
        <v>0.8</v>
      </c>
      <c r="AA6" s="146">
        <v>0.7936507936507938</v>
      </c>
      <c r="AB6" s="146">
        <v>0.7874015748031498</v>
      </c>
      <c r="AC6" s="146">
        <v>0.78125</v>
      </c>
      <c r="AD6" s="146">
        <v>0.7751937984496127</v>
      </c>
      <c r="AE6" s="146">
        <v>0.7692307692307695</v>
      </c>
    </row>
    <row r="7" spans="1:31" ht="12.75">
      <c r="A7" s="145">
        <v>2</v>
      </c>
      <c r="B7" s="146">
        <v>1.9703950593079167</v>
      </c>
      <c r="C7" s="146">
        <v>1.9415609381007282</v>
      </c>
      <c r="D7" s="146">
        <v>1.9134696955415218</v>
      </c>
      <c r="E7" s="146">
        <v>1.8860946745562157</v>
      </c>
      <c r="F7" s="146">
        <v>1.8594104308390036</v>
      </c>
      <c r="G7" s="146">
        <v>1.8333926664293363</v>
      </c>
      <c r="H7" s="146">
        <v>1.808018167525549</v>
      </c>
      <c r="I7" s="146">
        <v>1.7832647462277098</v>
      </c>
      <c r="J7" s="204">
        <v>1.7591111859271116</v>
      </c>
      <c r="K7" s="146">
        <v>1.7355371900826455</v>
      </c>
      <c r="L7" s="146">
        <v>1.7125233341449573</v>
      </c>
      <c r="M7" s="146">
        <v>1.690051020408164</v>
      </c>
      <c r="N7" s="146">
        <v>1.6681024355861838</v>
      </c>
      <c r="O7" s="146">
        <v>1.6466605109264396</v>
      </c>
      <c r="P7" s="146">
        <v>1.62570888468809</v>
      </c>
      <c r="Q7" s="146">
        <v>1.6052318668252075</v>
      </c>
      <c r="R7" s="146">
        <v>1.5852144057272257</v>
      </c>
      <c r="S7" s="146">
        <v>1.5656420568802065</v>
      </c>
      <c r="T7" s="146">
        <v>1.5465009533225056</v>
      </c>
      <c r="U7" s="146">
        <v>1.527777777777778</v>
      </c>
      <c r="V7" s="146">
        <v>1.509459736356806</v>
      </c>
      <c r="W7" s="146">
        <v>1.4915345337274923</v>
      </c>
      <c r="X7" s="146">
        <v>1.4739903496595939</v>
      </c>
      <c r="Y7" s="146">
        <v>1.4568158168574403</v>
      </c>
      <c r="Z7" s="146">
        <v>1.44</v>
      </c>
      <c r="AA7" s="146">
        <v>1.4235323759133287</v>
      </c>
      <c r="AB7" s="146">
        <v>1.4074028148056295</v>
      </c>
      <c r="AC7" s="146">
        <v>1.3916015625</v>
      </c>
      <c r="AD7" s="146">
        <v>1.376119223604351</v>
      </c>
      <c r="AE7" s="146">
        <v>1.3609467455621305</v>
      </c>
    </row>
    <row r="8" spans="1:31" ht="12.75">
      <c r="A8" s="145">
        <v>3</v>
      </c>
      <c r="B8" s="146">
        <v>2.940985207235547</v>
      </c>
      <c r="C8" s="146">
        <v>2.8838832726477692</v>
      </c>
      <c r="D8" s="146">
        <v>2.82861135489468</v>
      </c>
      <c r="E8" s="146">
        <v>2.7750910332271284</v>
      </c>
      <c r="F8" s="146">
        <v>2.7232480293704797</v>
      </c>
      <c r="G8" s="146">
        <v>2.6730119494616402</v>
      </c>
      <c r="H8" s="146">
        <v>2.6243160444164015</v>
      </c>
      <c r="I8" s="146">
        <v>2.5770969872478804</v>
      </c>
      <c r="J8" s="204">
        <v>2.5312946659881757</v>
      </c>
      <c r="K8" s="205">
        <v>2.4868519909842246</v>
      </c>
      <c r="L8" s="146">
        <v>2.4437147154459073</v>
      </c>
      <c r="M8" s="204">
        <v>2.401831268221576</v>
      </c>
      <c r="N8" s="146">
        <v>2.3611525978638785</v>
      </c>
      <c r="O8" s="146">
        <v>2.321632027128456</v>
      </c>
      <c r="P8" s="146">
        <v>2.283225117120078</v>
      </c>
      <c r="Q8" s="146">
        <v>2.2458895403665577</v>
      </c>
      <c r="R8" s="146">
        <v>2.209584962160022</v>
      </c>
      <c r="S8" s="146">
        <v>2.174272929559497</v>
      </c>
      <c r="T8" s="146">
        <v>2.1399167674979034</v>
      </c>
      <c r="U8" s="146">
        <v>2.1064814814814814</v>
      </c>
      <c r="V8" s="146">
        <v>2.073933666410584</v>
      </c>
      <c r="W8" s="146">
        <v>2.0422414210881086</v>
      </c>
      <c r="X8" s="146">
        <v>2.01137426801593</v>
      </c>
      <c r="Y8" s="146">
        <v>1.9813030781108392</v>
      </c>
      <c r="Z8" s="146">
        <v>1.952</v>
      </c>
      <c r="AA8" s="146">
        <v>1.9234383935820065</v>
      </c>
      <c r="AB8" s="146">
        <v>1.8955927675634874</v>
      </c>
      <c r="AC8" s="146">
        <v>1.8684387207031248</v>
      </c>
      <c r="AD8" s="146">
        <v>1.841952886515001</v>
      </c>
      <c r="AE8" s="146">
        <v>1.8161128812016392</v>
      </c>
    </row>
    <row r="9" spans="1:31" ht="12.75">
      <c r="A9" s="145">
        <v>4</v>
      </c>
      <c r="B9" s="146">
        <v>3.9019655517183782</v>
      </c>
      <c r="C9" s="146">
        <v>3.8077286986742895</v>
      </c>
      <c r="D9" s="146">
        <v>3.717098402810367</v>
      </c>
      <c r="E9" s="146">
        <v>3.629895224256857</v>
      </c>
      <c r="F9" s="146">
        <v>3.5459505041623607</v>
      </c>
      <c r="G9" s="146">
        <v>3.4651056126996593</v>
      </c>
      <c r="H9" s="146">
        <v>3.3872112564639254</v>
      </c>
      <c r="I9" s="146">
        <v>3.3121268400443338</v>
      </c>
      <c r="J9" s="146">
        <v>3.2397198770533735</v>
      </c>
      <c r="K9" s="204">
        <v>3.1698654463492946</v>
      </c>
      <c r="L9" s="146">
        <v>3.102445689590908</v>
      </c>
      <c r="M9" s="146">
        <v>3.0373493466264065</v>
      </c>
      <c r="N9" s="146">
        <v>2.9744713255432553</v>
      </c>
      <c r="O9" s="146">
        <v>2.9137123044986466</v>
      </c>
      <c r="P9" s="146">
        <v>2.8549783627131107</v>
      </c>
      <c r="Q9" s="146">
        <v>2.798180638247033</v>
      </c>
      <c r="R9" s="146">
        <v>2.7432350103931804</v>
      </c>
      <c r="S9" s="146">
        <v>2.690061804711438</v>
      </c>
      <c r="T9" s="146">
        <v>2.638585518905801</v>
      </c>
      <c r="U9" s="146">
        <v>2.588734567901234</v>
      </c>
      <c r="V9" s="146">
        <v>2.540441046620317</v>
      </c>
      <c r="W9" s="146">
        <v>2.4936405090886136</v>
      </c>
      <c r="X9" s="146">
        <v>2.448271762614577</v>
      </c>
      <c r="Y9" s="146">
        <v>2.4042766758958383</v>
      </c>
      <c r="Z9" s="146">
        <v>2.3616</v>
      </c>
      <c r="AA9" s="146">
        <v>2.3201892012555607</v>
      </c>
      <c r="AB9" s="146">
        <v>2.2799943051681004</v>
      </c>
      <c r="AC9" s="146">
        <v>2.2409677505493164</v>
      </c>
      <c r="AD9" s="146">
        <v>2.203064253112404</v>
      </c>
      <c r="AE9" s="146">
        <v>2.166240677847415</v>
      </c>
    </row>
    <row r="10" spans="1:31" ht="12.75">
      <c r="A10" s="145">
        <v>5</v>
      </c>
      <c r="B10" s="146">
        <v>4.853431239325112</v>
      </c>
      <c r="C10" s="146">
        <v>4.713459508504203</v>
      </c>
      <c r="D10" s="146">
        <v>4.57970718719453</v>
      </c>
      <c r="E10" s="146">
        <v>4.451822331016212</v>
      </c>
      <c r="F10" s="146">
        <v>4.329476670630821</v>
      </c>
      <c r="G10" s="146">
        <v>4.212363785565719</v>
      </c>
      <c r="H10" s="146">
        <v>4.100197435947594</v>
      </c>
      <c r="I10" s="146">
        <v>3.992710037078087</v>
      </c>
      <c r="J10" s="146">
        <v>3.8896512633517197</v>
      </c>
      <c r="K10" s="146">
        <v>3.7907867694084505</v>
      </c>
      <c r="L10" s="146">
        <v>3.695897017649467</v>
      </c>
      <c r="M10" s="146">
        <v>3.6047762023450067</v>
      </c>
      <c r="N10" s="146">
        <v>3.517231261542703</v>
      </c>
      <c r="O10" s="146">
        <v>3.4330809688584623</v>
      </c>
      <c r="P10" s="146">
        <v>3.352155098011401</v>
      </c>
      <c r="Q10" s="146">
        <v>3.274293653661235</v>
      </c>
      <c r="R10" s="146">
        <v>3.199346162729214</v>
      </c>
      <c r="S10" s="146">
        <v>3.127171020941896</v>
      </c>
      <c r="T10" s="146">
        <v>3.0576348898368075</v>
      </c>
      <c r="U10" s="146">
        <v>2.9906121399176953</v>
      </c>
      <c r="V10" s="146">
        <v>2.9259843360498485</v>
      </c>
      <c r="W10" s="146">
        <v>2.8636397615480433</v>
      </c>
      <c r="X10" s="146">
        <v>2.8034729777354284</v>
      </c>
      <c r="Y10" s="146">
        <v>2.745384416045031</v>
      </c>
      <c r="Z10" s="146">
        <v>2.68928</v>
      </c>
      <c r="AA10" s="146">
        <v>2.6350707946472705</v>
      </c>
      <c r="AB10" s="146">
        <v>2.5826726812347247</v>
      </c>
      <c r="AC10" s="146">
        <v>2.532006055116653</v>
      </c>
      <c r="AD10" s="146">
        <v>2.482995545048375</v>
      </c>
      <c r="AE10" s="146">
        <v>2.435569752190319</v>
      </c>
    </row>
    <row r="11" spans="1:31" ht="12.75">
      <c r="A11" s="145">
        <v>6</v>
      </c>
      <c r="B11" s="146">
        <v>5.795476474579342</v>
      </c>
      <c r="C11" s="146">
        <v>5.601430890690401</v>
      </c>
      <c r="D11" s="146">
        <v>5.417191443878186</v>
      </c>
      <c r="E11" s="146">
        <v>5.242136856746357</v>
      </c>
      <c r="F11" s="146">
        <v>5.075692067267448</v>
      </c>
      <c r="G11" s="204">
        <v>4.917324326005396</v>
      </c>
      <c r="H11" s="146">
        <v>4.766539659764106</v>
      </c>
      <c r="I11" s="146">
        <v>4.622879663961194</v>
      </c>
      <c r="J11" s="146">
        <v>4.485918590230936</v>
      </c>
      <c r="K11" s="204">
        <v>4.355260699462227</v>
      </c>
      <c r="L11" s="146">
        <v>4.230537853738259</v>
      </c>
      <c r="M11" s="146">
        <v>4.111407323522328</v>
      </c>
      <c r="N11" s="146">
        <v>3.9975497889758422</v>
      </c>
      <c r="O11" s="146">
        <v>3.8886675165425113</v>
      </c>
      <c r="P11" s="146">
        <v>3.784482693922957</v>
      </c>
      <c r="Q11" s="146">
        <v>3.6847359083286513</v>
      </c>
      <c r="R11" s="146">
        <v>3.5891847544694135</v>
      </c>
      <c r="S11" s="146">
        <v>3.497602560120251</v>
      </c>
      <c r="T11" s="146">
        <v>3.409777218350259</v>
      </c>
      <c r="U11" s="146">
        <v>3.325510116598079</v>
      </c>
      <c r="V11" s="146">
        <v>3.2446151537602055</v>
      </c>
      <c r="W11" s="146">
        <v>3.166917837334462</v>
      </c>
      <c r="X11" s="146">
        <v>3.0922544534434375</v>
      </c>
      <c r="Y11" s="146">
        <v>3.0204713032621218</v>
      </c>
      <c r="Z11" s="146">
        <v>2.9514240000000003</v>
      </c>
      <c r="AA11" s="146">
        <v>2.8849768211486273</v>
      </c>
      <c r="AB11" s="146">
        <v>2.8210021112084442</v>
      </c>
      <c r="AC11" s="146">
        <v>2.759379730559885</v>
      </c>
      <c r="AD11" s="146">
        <v>2.6999965465491282</v>
      </c>
      <c r="AE11" s="146">
        <v>2.6427459632233226</v>
      </c>
    </row>
    <row r="12" spans="1:31" ht="12.75">
      <c r="A12" s="145">
        <v>7</v>
      </c>
      <c r="B12" s="146">
        <v>6.728194529286446</v>
      </c>
      <c r="C12" s="146">
        <v>6.4719910693043055</v>
      </c>
      <c r="D12" s="146">
        <v>6.230282955221541</v>
      </c>
      <c r="E12" s="146">
        <v>6.002054669948417</v>
      </c>
      <c r="F12" s="146">
        <v>5.78637339739757</v>
      </c>
      <c r="G12" s="146">
        <v>5.582381439627734</v>
      </c>
      <c r="H12" s="146">
        <v>5.389289401648698</v>
      </c>
      <c r="I12" s="146">
        <v>5.206370059223326</v>
      </c>
      <c r="J12" s="146">
        <v>5.032952835074252</v>
      </c>
      <c r="K12" s="146">
        <v>4.868418817692935</v>
      </c>
      <c r="L12" s="146">
        <v>4.712196264629062</v>
      </c>
      <c r="M12" s="146">
        <v>4.563756538859222</v>
      </c>
      <c r="N12" s="146">
        <v>4.422610432721985</v>
      </c>
      <c r="O12" s="146">
        <v>4.288304839072379</v>
      </c>
      <c r="P12" s="146">
        <v>4.160419733846049</v>
      </c>
      <c r="Q12" s="146">
        <v>4.038565438214354</v>
      </c>
      <c r="R12" s="146">
        <v>3.9223801320251392</v>
      </c>
      <c r="S12" s="146">
        <v>3.8115275933222468</v>
      </c>
      <c r="T12" s="146">
        <v>3.7056951414708053</v>
      </c>
      <c r="U12" s="146">
        <v>3.6045917638317326</v>
      </c>
      <c r="V12" s="146">
        <v>3.5079464080662857</v>
      </c>
      <c r="W12" s="146">
        <v>3.4155064240446413</v>
      </c>
      <c r="X12" s="146">
        <v>3.3270361410109253</v>
      </c>
      <c r="Y12" s="146">
        <v>3.2423155671468726</v>
      </c>
      <c r="Z12" s="146">
        <v>3.1611392</v>
      </c>
      <c r="AA12" s="146">
        <v>3.0833149374195457</v>
      </c>
      <c r="AB12" s="146">
        <v>3.0086630796916887</v>
      </c>
      <c r="AC12" s="146">
        <v>2.93701541449991</v>
      </c>
      <c r="AD12" s="146">
        <v>2.868214377169867</v>
      </c>
      <c r="AE12" s="146">
        <v>2.8021122794025555</v>
      </c>
    </row>
    <row r="13" spans="1:31" ht="12.75">
      <c r="A13" s="145">
        <v>8</v>
      </c>
      <c r="B13" s="146">
        <v>7.651677751768782</v>
      </c>
      <c r="C13" s="146">
        <v>7.325481440494419</v>
      </c>
      <c r="D13" s="146">
        <v>7.019692189535476</v>
      </c>
      <c r="E13" s="146">
        <v>6.732744874950405</v>
      </c>
      <c r="F13" s="146">
        <v>6.463212759426256</v>
      </c>
      <c r="G13" s="146">
        <v>6.2097938109695585</v>
      </c>
      <c r="H13" s="146">
        <v>5.971298506213737</v>
      </c>
      <c r="I13" s="146">
        <v>5.746638943725303</v>
      </c>
      <c r="J13" s="146">
        <v>5.534819114747021</v>
      </c>
      <c r="K13" s="146">
        <v>5.334926197902668</v>
      </c>
      <c r="L13" s="146">
        <v>5.146122760927084</v>
      </c>
      <c r="M13" s="146">
        <v>4.967639766838591</v>
      </c>
      <c r="N13" s="146">
        <v>4.798770294444234</v>
      </c>
      <c r="O13" s="146">
        <v>4.63886389392314</v>
      </c>
      <c r="P13" s="146">
        <v>4.487321507692217</v>
      </c>
      <c r="Q13" s="146">
        <v>4.343590895012373</v>
      </c>
      <c r="R13" s="146">
        <v>4.2071625060043925</v>
      </c>
      <c r="S13" s="146">
        <v>4.077565757052752</v>
      </c>
      <c r="T13" s="146">
        <v>3.954365665101517</v>
      </c>
      <c r="U13" s="146">
        <v>3.837159803193111</v>
      </c>
      <c r="V13" s="146">
        <v>3.725575543856434</v>
      </c>
      <c r="W13" s="146">
        <v>3.619267560692329</v>
      </c>
      <c r="X13" s="146">
        <v>3.5179155617975</v>
      </c>
      <c r="Y13" s="146">
        <v>3.4212222315700584</v>
      </c>
      <c r="Z13" s="146">
        <v>3.32891136</v>
      </c>
      <c r="AA13" s="146">
        <v>3.240726140809163</v>
      </c>
      <c r="AB13" s="146">
        <v>3.1564276218044793</v>
      </c>
      <c r="AC13" s="146">
        <v>3.0757932925780547</v>
      </c>
      <c r="AD13" s="146">
        <v>2.9986157962557107</v>
      </c>
      <c r="AE13" s="146">
        <v>2.9247017533865813</v>
      </c>
    </row>
    <row r="14" spans="1:31" ht="12.75">
      <c r="A14" s="145">
        <v>9</v>
      </c>
      <c r="B14" s="146">
        <v>8.566017576008711</v>
      </c>
      <c r="C14" s="146">
        <v>8.162236706367077</v>
      </c>
      <c r="D14" s="146">
        <v>7.7861089218791015</v>
      </c>
      <c r="E14" s="146">
        <v>7.435331610529238</v>
      </c>
      <c r="F14" s="146">
        <v>7.107821675644055</v>
      </c>
      <c r="G14" s="146">
        <v>6.801692274499584</v>
      </c>
      <c r="H14" s="146">
        <v>6.515232248797885</v>
      </c>
      <c r="I14" s="146">
        <v>6.246887910856762</v>
      </c>
      <c r="J14" s="146">
        <v>5.995246894263323</v>
      </c>
      <c r="K14" s="146">
        <v>5.759023816275152</v>
      </c>
      <c r="L14" s="146">
        <v>5.537047532366743</v>
      </c>
      <c r="M14" s="146">
        <v>5.328249791820171</v>
      </c>
      <c r="N14" s="146">
        <v>5.131655127826755</v>
      </c>
      <c r="O14" s="146">
        <v>4.946371836774684</v>
      </c>
      <c r="P14" s="146">
        <v>4.771583919732362</v>
      </c>
      <c r="Q14" s="146">
        <v>4.606543875010667</v>
      </c>
      <c r="R14" s="146">
        <v>4.450566244448198</v>
      </c>
      <c r="S14" s="146">
        <v>4.303021828010807</v>
      </c>
      <c r="T14" s="146">
        <v>4.163332491681947</v>
      </c>
      <c r="U14" s="146">
        <v>4.030966502660925</v>
      </c>
      <c r="V14" s="146">
        <v>3.905434333765648</v>
      </c>
      <c r="W14" s="146">
        <v>3.786284885813384</v>
      </c>
      <c r="X14" s="146">
        <v>3.673102082762195</v>
      </c>
      <c r="Y14" s="146">
        <v>3.565501799653273</v>
      </c>
      <c r="Z14" s="146">
        <v>3.463129088</v>
      </c>
      <c r="AA14" s="146">
        <v>3.3656556673088596</v>
      </c>
      <c r="AB14" s="146">
        <v>3.2727776549641567</v>
      </c>
      <c r="AC14" s="146">
        <v>3.184213509826605</v>
      </c>
      <c r="AD14" s="146">
        <v>3.099702167640086</v>
      </c>
      <c r="AE14" s="146">
        <v>3.019001348758909</v>
      </c>
    </row>
    <row r="15" spans="1:31" ht="12.75">
      <c r="A15" s="145">
        <v>10</v>
      </c>
      <c r="B15" s="146">
        <v>9.471304530701685</v>
      </c>
      <c r="C15" s="146">
        <v>8.982585006242234</v>
      </c>
      <c r="D15" s="146">
        <v>8.530202836775828</v>
      </c>
      <c r="E15" s="146">
        <v>8.110895779355037</v>
      </c>
      <c r="F15" s="146">
        <v>7.721734929184813</v>
      </c>
      <c r="G15" s="146">
        <v>7.360087051414703</v>
      </c>
      <c r="H15" s="146">
        <v>7.023581540932602</v>
      </c>
      <c r="I15" s="146">
        <v>6.710081398941448</v>
      </c>
      <c r="J15" s="146">
        <v>6.417657701159013</v>
      </c>
      <c r="K15" s="146">
        <v>6.144567105704685</v>
      </c>
      <c r="L15" s="146">
        <v>5.8892320111412095</v>
      </c>
      <c r="M15" s="205">
        <v>5.650223028410867</v>
      </c>
      <c r="N15" s="146">
        <v>5.42624347595288</v>
      </c>
      <c r="O15" s="146">
        <v>5.2161156462935825</v>
      </c>
      <c r="P15" s="146">
        <v>5.018768625854228</v>
      </c>
      <c r="Q15" s="146">
        <v>4.833227478457472</v>
      </c>
      <c r="R15" s="146">
        <v>4.658603627733503</v>
      </c>
      <c r="S15" s="146">
        <v>4.494086294924412</v>
      </c>
      <c r="T15" s="146">
        <v>4.33893486695962</v>
      </c>
      <c r="U15" s="146">
        <v>4.192472085550771</v>
      </c>
      <c r="V15" s="146">
        <v>4.054077961789792</v>
      </c>
      <c r="W15" s="146">
        <v>3.9231843326339213</v>
      </c>
      <c r="X15" s="146">
        <v>3.799269985985524</v>
      </c>
      <c r="Y15" s="146">
        <v>3.681856290042962</v>
      </c>
      <c r="Z15" s="146">
        <v>3.5705032704</v>
      </c>
      <c r="AA15" s="146">
        <v>3.464806085165762</v>
      </c>
      <c r="AB15" s="146">
        <v>3.3643918543024856</v>
      </c>
      <c r="AC15" s="146">
        <v>3.268916804552035</v>
      </c>
      <c r="AD15" s="146">
        <v>3.178063695845028</v>
      </c>
      <c r="AE15" s="146">
        <v>3.0915394990453144</v>
      </c>
    </row>
    <row r="16" spans="1:31" ht="12.75">
      <c r="A16" s="145">
        <v>11</v>
      </c>
      <c r="B16" s="146">
        <v>10.367628248219473</v>
      </c>
      <c r="C16" s="146">
        <v>9.786848045335516</v>
      </c>
      <c r="D16" s="146">
        <v>9.25262411337459</v>
      </c>
      <c r="E16" s="146">
        <v>8.760476710918303</v>
      </c>
      <c r="F16" s="146">
        <v>8.306414218271252</v>
      </c>
      <c r="G16" s="146">
        <v>7.886874576806324</v>
      </c>
      <c r="H16" s="146">
        <v>7.498674337320191</v>
      </c>
      <c r="I16" s="146">
        <v>7.138964258279118</v>
      </c>
      <c r="J16" s="146">
        <v>6.80519055152203</v>
      </c>
      <c r="K16" s="146">
        <v>6.495061005186078</v>
      </c>
      <c r="L16" s="146">
        <v>6.206515325352441</v>
      </c>
      <c r="M16" s="146">
        <v>5.937699132509703</v>
      </c>
      <c r="N16" s="146">
        <v>5.686941129161841</v>
      </c>
      <c r="O16" s="146">
        <v>5.452733023064546</v>
      </c>
      <c r="P16" s="146">
        <v>5.233711848568894</v>
      </c>
      <c r="Q16" s="146">
        <v>5.028644377980579</v>
      </c>
      <c r="R16" s="146">
        <v>4.836413357037182</v>
      </c>
      <c r="S16" s="146">
        <v>4.656005334681705</v>
      </c>
      <c r="T16" s="146">
        <v>4.486499888201361</v>
      </c>
      <c r="U16" s="146">
        <v>4.327060071292308</v>
      </c>
      <c r="V16" s="146">
        <v>4.176923935363464</v>
      </c>
      <c r="W16" s="146">
        <v>4.03539699396223</v>
      </c>
      <c r="X16" s="146">
        <v>3.9018455170614015</v>
      </c>
      <c r="Y16" s="146">
        <v>3.7756905564862597</v>
      </c>
      <c r="Z16" s="146">
        <v>3.65640261632</v>
      </c>
      <c r="AA16" s="146">
        <v>3.5434968929886996</v>
      </c>
      <c r="AB16" s="146">
        <v>3.4365290191358153</v>
      </c>
      <c r="AC16" s="146">
        <v>3.3350912535562776</v>
      </c>
      <c r="AD16" s="146">
        <v>3.2388090665465334</v>
      </c>
      <c r="AE16" s="146">
        <v>3.1473380761887033</v>
      </c>
    </row>
    <row r="17" spans="1:31" ht="12.75">
      <c r="A17" s="145">
        <v>12</v>
      </c>
      <c r="B17" s="146">
        <v>11.255077473484631</v>
      </c>
      <c r="C17" s="146">
        <v>10.575341220917178</v>
      </c>
      <c r="D17" s="146">
        <v>9.954003993567559</v>
      </c>
      <c r="E17" s="146">
        <v>9.385073760498372</v>
      </c>
      <c r="F17" s="146">
        <v>8.86325163644881</v>
      </c>
      <c r="G17" s="146">
        <v>8.383843940383326</v>
      </c>
      <c r="H17" s="146">
        <v>7.942686296560924</v>
      </c>
      <c r="I17" s="146">
        <v>7.53607801692511</v>
      </c>
      <c r="J17" s="146">
        <v>7.1607252766257155</v>
      </c>
      <c r="K17" s="146">
        <v>6.813691822896435</v>
      </c>
      <c r="L17" s="146">
        <v>6.492356148966164</v>
      </c>
      <c r="M17" s="146">
        <v>6.194374225455092</v>
      </c>
      <c r="N17" s="146">
        <v>5.917647016957381</v>
      </c>
      <c r="O17" s="146">
        <v>5.660292125495216</v>
      </c>
      <c r="P17" s="146">
        <v>5.420618998755559</v>
      </c>
      <c r="Q17" s="146">
        <v>5.197107222397051</v>
      </c>
      <c r="R17" s="146">
        <v>4.988387484647164</v>
      </c>
      <c r="S17" s="146">
        <v>4.79322485989975</v>
      </c>
      <c r="T17" s="146">
        <v>4.610504107732236</v>
      </c>
      <c r="U17" s="146">
        <v>4.439216726076924</v>
      </c>
      <c r="V17" s="146">
        <v>4.278449533358235</v>
      </c>
      <c r="W17" s="146">
        <v>4.127374585214943</v>
      </c>
      <c r="X17" s="146">
        <v>3.9852402577734978</v>
      </c>
      <c r="Y17" s="146">
        <v>3.8513633520050483</v>
      </c>
      <c r="Z17" s="146">
        <v>3.725122093056</v>
      </c>
      <c r="AA17" s="146">
        <v>3.6059499150703966</v>
      </c>
      <c r="AB17" s="146">
        <v>3.4933299363274135</v>
      </c>
      <c r="AC17" s="146">
        <v>3.386790041840842</v>
      </c>
      <c r="AD17" s="146">
        <v>3.2858985011988633</v>
      </c>
      <c r="AE17" s="146">
        <v>3.190260058606695</v>
      </c>
    </row>
    <row r="18" spans="1:31" ht="12.75">
      <c r="A18" s="145">
        <v>13</v>
      </c>
      <c r="B18" s="146">
        <v>12.133740072757071</v>
      </c>
      <c r="C18" s="146">
        <v>11.34837374599723</v>
      </c>
      <c r="D18" s="146">
        <v>10.634955333560736</v>
      </c>
      <c r="E18" s="146">
        <v>9.98564784663305</v>
      </c>
      <c r="F18" s="146">
        <v>9.393572987094107</v>
      </c>
      <c r="G18" s="146">
        <v>8.85268296262578</v>
      </c>
      <c r="H18" s="146">
        <v>8.357650744449462</v>
      </c>
      <c r="I18" s="146">
        <v>7.903775941597324</v>
      </c>
      <c r="J18" s="146">
        <v>7.486903923509831</v>
      </c>
      <c r="K18" s="146">
        <v>7.103356202633122</v>
      </c>
      <c r="L18" s="146">
        <v>6.749870404474021</v>
      </c>
      <c r="M18" s="146">
        <v>6.423548415584904</v>
      </c>
      <c r="N18" s="146">
        <v>6.1218115194313105</v>
      </c>
      <c r="O18" s="146">
        <v>5.842361513592295</v>
      </c>
      <c r="P18" s="146">
        <v>5.5831469554396165</v>
      </c>
      <c r="Q18" s="146">
        <v>5.34233381241125</v>
      </c>
      <c r="R18" s="146">
        <v>5.118279901407832</v>
      </c>
      <c r="S18" s="146">
        <v>4.909512593135381</v>
      </c>
      <c r="T18" s="146">
        <v>4.71470933422877</v>
      </c>
      <c r="U18" s="146">
        <v>4.532680605064104</v>
      </c>
      <c r="V18" s="146">
        <v>4.362354986246475</v>
      </c>
      <c r="W18" s="146">
        <v>4.202766053454871</v>
      </c>
      <c r="X18" s="146">
        <v>4.053040859978453</v>
      </c>
      <c r="Y18" s="146">
        <v>3.9123898000040715</v>
      </c>
      <c r="Z18" s="146">
        <v>3.7800976744448</v>
      </c>
      <c r="AA18" s="146">
        <v>3.655515805611426</v>
      </c>
      <c r="AB18" s="146">
        <v>3.538055067974341</v>
      </c>
      <c r="AC18" s="146">
        <v>3.4271797201881578</v>
      </c>
      <c r="AD18" s="146">
        <v>3.3224019389138473</v>
      </c>
      <c r="AE18" s="146">
        <v>3.2232769681589963</v>
      </c>
    </row>
    <row r="19" spans="1:31" ht="12.75">
      <c r="A19" s="145">
        <v>14</v>
      </c>
      <c r="B19" s="146">
        <v>13.003703042333736</v>
      </c>
      <c r="C19" s="146">
        <v>12.106248770585525</v>
      </c>
      <c r="D19" s="146">
        <v>11.29607313937936</v>
      </c>
      <c r="E19" s="146">
        <v>10.563122929454854</v>
      </c>
      <c r="F19" s="146">
        <v>9.898640940089622</v>
      </c>
      <c r="G19" s="146">
        <v>9.294983927005452</v>
      </c>
      <c r="H19" s="146">
        <v>8.745467985466787</v>
      </c>
      <c r="I19" s="146">
        <v>8.244236982960484</v>
      </c>
      <c r="J19" s="146">
        <v>7.786150388541129</v>
      </c>
      <c r="K19" s="146">
        <v>7.366687456939203</v>
      </c>
      <c r="L19" s="146">
        <v>6.981865229255875</v>
      </c>
      <c r="M19" s="146">
        <v>6.628168228200807</v>
      </c>
      <c r="N19" s="146">
        <v>6.302488070293195</v>
      </c>
      <c r="O19" s="146">
        <v>6.002071503151136</v>
      </c>
      <c r="P19" s="146">
        <v>5.724475613425754</v>
      </c>
      <c r="Q19" s="146">
        <v>5.467529148630389</v>
      </c>
      <c r="R19" s="146">
        <v>5.229299061032336</v>
      </c>
      <c r="S19" s="146">
        <v>5.0080615196062555</v>
      </c>
      <c r="T19" s="146">
        <v>4.802276751452747</v>
      </c>
      <c r="U19" s="146">
        <v>4.610567170886752</v>
      </c>
      <c r="V19" s="146">
        <v>4.431698335740888</v>
      </c>
      <c r="W19" s="146">
        <v>4.264562338897435</v>
      </c>
      <c r="X19" s="146">
        <v>4.10816330079549</v>
      </c>
      <c r="Y19" s="146">
        <v>3.961604677422638</v>
      </c>
      <c r="Z19" s="146">
        <v>3.82407813955584</v>
      </c>
      <c r="AA19" s="146">
        <v>3.6948538139773217</v>
      </c>
      <c r="AB19" s="146">
        <v>3.573271707066411</v>
      </c>
      <c r="AC19" s="146">
        <v>3.458734156396998</v>
      </c>
      <c r="AD19" s="146">
        <v>3.350699177452595</v>
      </c>
      <c r="AE19" s="146">
        <v>3.2486745908915355</v>
      </c>
    </row>
    <row r="20" spans="1:31" ht="12.75">
      <c r="A20" s="145">
        <v>15</v>
      </c>
      <c r="B20" s="146">
        <v>13.865052517162091</v>
      </c>
      <c r="C20" s="146">
        <v>12.849263500574038</v>
      </c>
      <c r="D20" s="146">
        <v>11.93793508677608</v>
      </c>
      <c r="E20" s="146">
        <v>11.11838743216813</v>
      </c>
      <c r="F20" s="146">
        <v>10.379658038180594</v>
      </c>
      <c r="G20" s="146">
        <v>9.712248987740994</v>
      </c>
      <c r="H20" s="146">
        <v>9.107914005109146</v>
      </c>
      <c r="I20" s="204">
        <v>8.559478687926376</v>
      </c>
      <c r="J20" s="146">
        <v>8.060688429854247</v>
      </c>
      <c r="K20" s="146">
        <v>7.606079506308366</v>
      </c>
      <c r="L20" s="146">
        <v>7.190869575906194</v>
      </c>
      <c r="M20" s="146">
        <v>6.810864489465007</v>
      </c>
      <c r="N20" s="146">
        <v>6.462378823268313</v>
      </c>
      <c r="O20" s="146">
        <v>6.142167985220294</v>
      </c>
      <c r="P20" s="146">
        <v>5.84737009863109</v>
      </c>
      <c r="Q20" s="146">
        <v>5.5754561626124035</v>
      </c>
      <c r="R20" s="146">
        <v>5.324187231651568</v>
      </c>
      <c r="S20" s="146">
        <v>5.0915775589883525</v>
      </c>
      <c r="T20" s="146">
        <v>4.875862816346847</v>
      </c>
      <c r="U20" s="146">
        <v>4.675472642405627</v>
      </c>
      <c r="V20" s="146">
        <v>4.489006889042057</v>
      </c>
      <c r="W20" s="146">
        <v>4.315215031883144</v>
      </c>
      <c r="X20" s="146">
        <v>4.152978293329667</v>
      </c>
      <c r="Y20" s="146">
        <v>4.001294094695676</v>
      </c>
      <c r="Z20" s="146">
        <v>3.859262511644672</v>
      </c>
      <c r="AA20" s="146">
        <v>3.726074455537557</v>
      </c>
      <c r="AB20" s="146">
        <v>3.60100134414678</v>
      </c>
      <c r="AC20" s="146">
        <v>3.483386059685155</v>
      </c>
      <c r="AD20" s="146">
        <v>3.3726350212810816</v>
      </c>
      <c r="AE20" s="146">
        <v>3.26821122376272</v>
      </c>
    </row>
    <row r="21" spans="1:31" ht="12.75">
      <c r="A21" s="145">
        <v>16</v>
      </c>
      <c r="B21" s="146">
        <v>14.717873779368439</v>
      </c>
      <c r="C21" s="146">
        <v>13.577709314288278</v>
      </c>
      <c r="D21" s="146">
        <v>12.561102025996188</v>
      </c>
      <c r="E21" s="146">
        <v>11.652295607853974</v>
      </c>
      <c r="F21" s="146">
        <v>10.837769560171994</v>
      </c>
      <c r="G21" s="146">
        <v>10.105895271453765</v>
      </c>
      <c r="H21" s="146">
        <v>9.446648602905745</v>
      </c>
      <c r="I21" s="146">
        <v>8.851369155487385</v>
      </c>
      <c r="J21" s="146">
        <v>8.312558192526833</v>
      </c>
      <c r="K21" s="146">
        <v>7.823708642098515</v>
      </c>
      <c r="L21" s="146">
        <v>7.379161780095671</v>
      </c>
      <c r="M21" s="146">
        <v>6.973986151308042</v>
      </c>
      <c r="N21" s="146">
        <v>6.603875064839216</v>
      </c>
      <c r="O21" s="146">
        <v>6.265059636158153</v>
      </c>
      <c r="P21" s="146">
        <v>5.9542348683748605</v>
      </c>
      <c r="Q21" s="146">
        <v>5.668496691907245</v>
      </c>
      <c r="R21" s="146">
        <v>5.405288232180827</v>
      </c>
      <c r="S21" s="146">
        <v>5.162353863549451</v>
      </c>
      <c r="T21" s="146">
        <v>4.937699845669619</v>
      </c>
      <c r="U21" s="146">
        <v>4.729560535338023</v>
      </c>
      <c r="V21" s="146">
        <v>4.536369329786824</v>
      </c>
      <c r="W21" s="146">
        <v>4.3567336326911015</v>
      </c>
      <c r="X21" s="146">
        <v>4.189413246609485</v>
      </c>
      <c r="Y21" s="146">
        <v>4.033301689270706</v>
      </c>
      <c r="Z21" s="146">
        <v>3.8874100093157375</v>
      </c>
      <c r="AA21" s="146">
        <v>3.7508527424901246</v>
      </c>
      <c r="AB21" s="146">
        <v>3.6228357040525827</v>
      </c>
      <c r="AC21" s="146">
        <v>3.5026453591290267</v>
      </c>
      <c r="AD21" s="146">
        <v>3.389639551380683</v>
      </c>
      <c r="AE21" s="146">
        <v>3.2832394028943996</v>
      </c>
    </row>
    <row r="22" spans="1:31" ht="12.75">
      <c r="A22" s="145">
        <v>17</v>
      </c>
      <c r="B22" s="146">
        <v>15.562251266701432</v>
      </c>
      <c r="C22" s="146">
        <v>14.291871876753214</v>
      </c>
      <c r="D22" s="146">
        <v>13.16611847184096</v>
      </c>
      <c r="E22" s="146">
        <v>12.165668853705744</v>
      </c>
      <c r="F22" s="146">
        <v>11.274066247782853</v>
      </c>
      <c r="G22" s="146">
        <v>10.477259690050724</v>
      </c>
      <c r="H22" s="146">
        <v>9.763222993369853</v>
      </c>
      <c r="I22" s="146">
        <v>9.121638106932764</v>
      </c>
      <c r="J22" s="146">
        <v>8.543631369290672</v>
      </c>
      <c r="K22" s="146">
        <v>8.02155331099865</v>
      </c>
      <c r="L22" s="146">
        <v>7.548794396482586</v>
      </c>
      <c r="M22" s="146">
        <v>7.119630492239323</v>
      </c>
      <c r="N22" s="146">
        <v>6.729092977733819</v>
      </c>
      <c r="O22" s="146">
        <v>6.372859329963292</v>
      </c>
      <c r="P22" s="146">
        <v>6.047160755108575</v>
      </c>
      <c r="Q22" s="146">
        <v>5.748704044747624</v>
      </c>
      <c r="R22" s="146">
        <v>5.47460532665028</v>
      </c>
      <c r="S22" s="146">
        <v>5.222333782669026</v>
      </c>
      <c r="T22" s="146">
        <v>4.989663735856823</v>
      </c>
      <c r="U22" s="146">
        <v>4.774633779448352</v>
      </c>
      <c r="V22" s="146">
        <v>4.575511842799028</v>
      </c>
      <c r="W22" s="146">
        <v>4.390765272697624</v>
      </c>
      <c r="X22" s="146">
        <v>4.2190351598451095</v>
      </c>
      <c r="Y22" s="146">
        <v>4.0591142655408925</v>
      </c>
      <c r="Z22" s="146">
        <v>3.90992800745259</v>
      </c>
      <c r="AA22" s="146">
        <v>3.770518049595337</v>
      </c>
      <c r="AB22" s="146">
        <v>3.6400281134272303</v>
      </c>
      <c r="AC22" s="146">
        <v>3.5176916868195525</v>
      </c>
      <c r="AD22" s="146">
        <v>3.402821357659444</v>
      </c>
      <c r="AE22" s="146">
        <v>3.294799540688</v>
      </c>
    </row>
    <row r="23" spans="1:31" ht="12.75">
      <c r="A23" s="145">
        <v>18</v>
      </c>
      <c r="B23" s="146">
        <v>16.398268580892505</v>
      </c>
      <c r="C23" s="146">
        <v>14.992031251718835</v>
      </c>
      <c r="D23" s="146">
        <v>13.753513079457244</v>
      </c>
      <c r="E23" s="146">
        <v>12.659296974717062</v>
      </c>
      <c r="F23" s="146">
        <v>11.689586902650337</v>
      </c>
      <c r="G23" s="146">
        <v>10.827603481179928</v>
      </c>
      <c r="H23" s="146">
        <v>10.059086909691452</v>
      </c>
      <c r="I23" s="146">
        <v>9.371887136048857</v>
      </c>
      <c r="J23" s="146">
        <v>8.755625109440984</v>
      </c>
      <c r="K23" s="146">
        <v>8.201412100907863</v>
      </c>
      <c r="L23" s="146">
        <v>7.701616573407735</v>
      </c>
      <c r="M23" s="146">
        <v>7.2496700823565385</v>
      </c>
      <c r="N23" s="146">
        <v>6.839905290029928</v>
      </c>
      <c r="O23" s="146">
        <v>6.467420464880082</v>
      </c>
      <c r="P23" s="146">
        <v>6.127965874007456</v>
      </c>
      <c r="Q23" s="146">
        <v>5.817848314437607</v>
      </c>
      <c r="R23" s="146">
        <v>5.533850706538701</v>
      </c>
      <c r="S23" s="146">
        <v>5.27316422260087</v>
      </c>
      <c r="T23" s="146">
        <v>5.0333308704679185</v>
      </c>
      <c r="U23" s="146">
        <v>4.8121948162069605</v>
      </c>
      <c r="V23" s="146">
        <v>4.607861027106635</v>
      </c>
      <c r="W23" s="146">
        <v>4.418660059588217</v>
      </c>
      <c r="X23" s="146">
        <v>4.243118016134235</v>
      </c>
      <c r="Y23" s="146">
        <v>4.079930859307171</v>
      </c>
      <c r="Z23" s="146">
        <v>3.9279424059620722</v>
      </c>
      <c r="AA23" s="146">
        <v>3.7861254361867753</v>
      </c>
      <c r="AB23" s="146">
        <v>3.6535654436434886</v>
      </c>
      <c r="AC23" s="146">
        <v>3.529446630327775</v>
      </c>
      <c r="AD23" s="146">
        <v>3.4130398121391043</v>
      </c>
      <c r="AE23" s="146">
        <v>3.3036919543753847</v>
      </c>
    </row>
    <row r="24" spans="1:31" ht="12.75">
      <c r="A24" s="145">
        <v>19</v>
      </c>
      <c r="B24" s="146">
        <v>17.226008495933154</v>
      </c>
      <c r="C24" s="146">
        <v>15.678462011489053</v>
      </c>
      <c r="D24" s="146">
        <v>14.323799106269169</v>
      </c>
      <c r="E24" s="146">
        <v>13.133939398766406</v>
      </c>
      <c r="F24" s="146">
        <v>12.085320859666988</v>
      </c>
      <c r="G24" s="146">
        <v>11.158116491679179</v>
      </c>
      <c r="H24" s="146">
        <v>10.335595242702292</v>
      </c>
      <c r="I24" s="146">
        <v>9.603599200045238</v>
      </c>
      <c r="J24" s="146">
        <v>8.950114779303656</v>
      </c>
      <c r="K24" s="146">
        <v>8.364920091734422</v>
      </c>
      <c r="L24" s="146">
        <v>7.839294210277239</v>
      </c>
      <c r="M24" s="146">
        <v>7.3657768592469095</v>
      </c>
      <c r="N24" s="146">
        <v>6.937969283212325</v>
      </c>
      <c r="O24" s="146">
        <v>6.550368828842176</v>
      </c>
      <c r="P24" s="146">
        <v>6.198231194789092</v>
      </c>
      <c r="Q24" s="146">
        <v>5.877455443480696</v>
      </c>
      <c r="R24" s="146">
        <v>5.584487783366411</v>
      </c>
      <c r="S24" s="146">
        <v>5.316240866610906</v>
      </c>
      <c r="T24" s="146">
        <v>5.070025941569679</v>
      </c>
      <c r="U24" s="146">
        <v>4.843495680172467</v>
      </c>
      <c r="V24" s="146">
        <v>4.634595890170773</v>
      </c>
      <c r="W24" s="146">
        <v>4.441524639006735</v>
      </c>
      <c r="X24" s="146">
        <v>4.262697574092875</v>
      </c>
      <c r="Y24" s="146">
        <v>4.096718434925139</v>
      </c>
      <c r="Z24" s="146">
        <v>3.9423539247696575</v>
      </c>
      <c r="AA24" s="146">
        <v>3.798512250941885</v>
      </c>
      <c r="AB24" s="146">
        <v>3.6642247587744</v>
      </c>
      <c r="AC24" s="146">
        <v>3.538630179943574</v>
      </c>
      <c r="AD24" s="146">
        <v>3.4209610946814766</v>
      </c>
      <c r="AE24" s="146">
        <v>3.3105322725964497</v>
      </c>
    </row>
    <row r="25" spans="1:31" ht="12.75">
      <c r="A25" s="145">
        <v>20</v>
      </c>
      <c r="B25" s="146">
        <v>18.04555296627046</v>
      </c>
      <c r="C25" s="146">
        <v>16.351433344597112</v>
      </c>
      <c r="D25" s="146">
        <v>14.877474860455502</v>
      </c>
      <c r="E25" s="146">
        <v>13.590326344967698</v>
      </c>
      <c r="F25" s="146">
        <v>12.462210342539986</v>
      </c>
      <c r="G25" s="146">
        <v>11.469921218565263</v>
      </c>
      <c r="H25" s="146">
        <v>10.594014245516162</v>
      </c>
      <c r="I25" s="146">
        <v>9.818147407449294</v>
      </c>
      <c r="J25" s="146">
        <v>9.128545669085922</v>
      </c>
      <c r="K25" s="146">
        <v>8.513563719758565</v>
      </c>
      <c r="L25" s="146">
        <v>7.963328117366881</v>
      </c>
      <c r="M25" s="146">
        <v>7.469443624327598</v>
      </c>
      <c r="N25" s="146">
        <v>7.024751578064005</v>
      </c>
      <c r="O25" s="146">
        <v>6.623130551615944</v>
      </c>
      <c r="P25" s="146">
        <v>6.259331473729645</v>
      </c>
      <c r="Q25" s="146">
        <v>5.928840899552324</v>
      </c>
      <c r="R25" s="146">
        <v>5.627767336210607</v>
      </c>
      <c r="S25" s="146">
        <v>5.352746497127887</v>
      </c>
      <c r="T25" s="146">
        <v>5.100862135772839</v>
      </c>
      <c r="U25" s="146">
        <v>4.869579733477056</v>
      </c>
      <c r="V25" s="146">
        <v>4.656690818322952</v>
      </c>
      <c r="W25" s="146">
        <v>4.460266097546504</v>
      </c>
      <c r="X25" s="146">
        <v>4.278615913896646</v>
      </c>
      <c r="Y25" s="146">
        <v>4.1102568023589825</v>
      </c>
      <c r="Z25" s="146">
        <v>3.953883139815726</v>
      </c>
      <c r="AA25" s="146">
        <v>3.8083430563030833</v>
      </c>
      <c r="AB25" s="146">
        <v>3.6726179202948033</v>
      </c>
      <c r="AC25" s="146">
        <v>3.5458048280809176</v>
      </c>
      <c r="AD25" s="146">
        <v>3.4271016237840906</v>
      </c>
      <c r="AE25" s="146">
        <v>3.315794055843423</v>
      </c>
    </row>
    <row r="26" spans="1:31" ht="12.75">
      <c r="A26" s="145">
        <v>21</v>
      </c>
      <c r="B26" s="146">
        <v>18.856983134921233</v>
      </c>
      <c r="C26" s="146">
        <v>17.011209161369717</v>
      </c>
      <c r="D26" s="146">
        <v>15.415024136364565</v>
      </c>
      <c r="E26" s="146">
        <v>14.02915994708433</v>
      </c>
      <c r="F26" s="146">
        <v>12.82115270718094</v>
      </c>
      <c r="G26" s="146">
        <v>11.764076621287986</v>
      </c>
      <c r="H26" s="146">
        <v>10.835527332258094</v>
      </c>
      <c r="I26" s="146">
        <v>10.016803155045642</v>
      </c>
      <c r="J26" s="146">
        <v>9.292243733106352</v>
      </c>
      <c r="K26" s="146">
        <v>8.648694290689605</v>
      </c>
      <c r="L26" s="146">
        <v>8.0750703760062</v>
      </c>
      <c r="M26" s="146">
        <v>7.562003236006784</v>
      </c>
      <c r="N26" s="146">
        <v>7.10155006908319</v>
      </c>
      <c r="O26" s="146">
        <v>6.686956624224512</v>
      </c>
      <c r="P26" s="146">
        <v>6.312462151069257</v>
      </c>
      <c r="Q26" s="146">
        <v>5.973138706510624</v>
      </c>
      <c r="R26" s="146">
        <v>5.664758407017613</v>
      </c>
      <c r="S26" s="146">
        <v>5.383683472142277</v>
      </c>
      <c r="T26" s="146">
        <v>5.12677490401079</v>
      </c>
      <c r="U26" s="146">
        <v>4.891316444564213</v>
      </c>
      <c r="V26" s="146">
        <v>4.674951089523102</v>
      </c>
      <c r="W26" s="146">
        <v>4.47562794880861</v>
      </c>
      <c r="X26" s="146">
        <v>4.291557653574508</v>
      </c>
      <c r="Y26" s="146">
        <v>4.121174840612083</v>
      </c>
      <c r="Z26" s="146">
        <v>3.963106511852581</v>
      </c>
      <c r="AA26" s="146">
        <v>3.816145282780225</v>
      </c>
      <c r="AB26" s="146">
        <v>3.6792267088935455</v>
      </c>
      <c r="AC26" s="146">
        <v>3.5514100219382163</v>
      </c>
      <c r="AD26" s="146">
        <v>3.4318617238636357</v>
      </c>
      <c r="AE26" s="146">
        <v>3.3198415814180176</v>
      </c>
    </row>
    <row r="27" spans="1:31" ht="12.75">
      <c r="A27" s="145">
        <v>22</v>
      </c>
      <c r="B27" s="146">
        <v>19.660379341506196</v>
      </c>
      <c r="C27" s="146">
        <v>17.658048197421294</v>
      </c>
      <c r="D27" s="146">
        <v>15.93691663724715</v>
      </c>
      <c r="E27" s="146">
        <v>14.451115333734931</v>
      </c>
      <c r="F27" s="146">
        <v>13.16300257826756</v>
      </c>
      <c r="G27" s="146">
        <v>12.04158171819621</v>
      </c>
      <c r="H27" s="146">
        <v>11.06124049743747</v>
      </c>
      <c r="I27" s="146">
        <v>10.200743662079297</v>
      </c>
      <c r="J27" s="146">
        <v>9.442425443216836</v>
      </c>
      <c r="K27" s="146">
        <v>8.771540264263278</v>
      </c>
      <c r="L27" s="146">
        <v>8.175739077483064</v>
      </c>
      <c r="M27" s="146">
        <v>7.6446457464346285</v>
      </c>
      <c r="N27" s="146">
        <v>7.169513335471849</v>
      </c>
      <c r="O27" s="146">
        <v>6.742944407214485</v>
      </c>
      <c r="P27" s="146">
        <v>6.358662740060224</v>
      </c>
      <c r="Q27" s="146">
        <v>6.011326471129848</v>
      </c>
      <c r="R27" s="146">
        <v>5.6963747068526605</v>
      </c>
      <c r="S27" s="146">
        <v>5.409901247578201</v>
      </c>
      <c r="T27" s="146">
        <v>5.148550339504865</v>
      </c>
      <c r="U27" s="146">
        <v>4.909430370470178</v>
      </c>
      <c r="V27" s="146">
        <v>4.6900422227463645</v>
      </c>
      <c r="W27" s="146">
        <v>4.488219630170992</v>
      </c>
      <c r="X27" s="146">
        <v>4.302079393150008</v>
      </c>
      <c r="Y27" s="146">
        <v>4.1299797101710345</v>
      </c>
      <c r="Z27" s="146">
        <v>3.9704852094820646</v>
      </c>
      <c r="AA27" s="146">
        <v>3.8223375260160517</v>
      </c>
      <c r="AB27" s="146">
        <v>3.684430479443737</v>
      </c>
      <c r="AC27" s="146">
        <v>3.5557890796392315</v>
      </c>
      <c r="AD27" s="146">
        <v>3.435551723925299</v>
      </c>
      <c r="AE27" s="146">
        <v>3.3229550626292443</v>
      </c>
    </row>
    <row r="28" spans="1:31" ht="12.75">
      <c r="A28" s="145">
        <v>23</v>
      </c>
      <c r="B28" s="146">
        <v>20.455821130204143</v>
      </c>
      <c r="C28" s="146">
        <v>18.29220411511891</v>
      </c>
      <c r="D28" s="146">
        <v>16.443608385676846</v>
      </c>
      <c r="E28" s="146">
        <v>14.856841667052816</v>
      </c>
      <c r="F28" s="146">
        <v>13.488573884064348</v>
      </c>
      <c r="G28" s="146">
        <v>12.30337897943039</v>
      </c>
      <c r="H28" s="146">
        <v>11.272187380782682</v>
      </c>
      <c r="I28" s="146">
        <v>10.371058946369722</v>
      </c>
      <c r="J28" s="146">
        <v>9.5802068286393</v>
      </c>
      <c r="K28" s="146">
        <v>8.883218422057524</v>
      </c>
      <c r="L28" s="146">
        <v>8.266431601336093</v>
      </c>
      <c r="M28" s="146">
        <v>7.718433702173775</v>
      </c>
      <c r="N28" s="146">
        <v>7.229657819001637</v>
      </c>
      <c r="O28" s="146">
        <v>6.792056497556565</v>
      </c>
      <c r="P28" s="146">
        <v>6.39883716526976</v>
      </c>
      <c r="Q28" s="146">
        <v>6.044246957870559</v>
      </c>
      <c r="R28" s="146">
        <v>5.7233971853441545</v>
      </c>
      <c r="S28" s="146">
        <v>5.4321197013374585</v>
      </c>
      <c r="T28" s="146">
        <v>5.166849024794004</v>
      </c>
      <c r="U28" s="146">
        <v>4.924525308725148</v>
      </c>
      <c r="V28" s="146">
        <v>4.702514233674682</v>
      </c>
      <c r="W28" s="146">
        <v>4.498540680468026</v>
      </c>
      <c r="X28" s="146">
        <v>4.310633652967486</v>
      </c>
      <c r="Y28" s="146">
        <v>4.137080411428253</v>
      </c>
      <c r="Z28" s="146">
        <v>3.9763881675856516</v>
      </c>
      <c r="AA28" s="146">
        <v>3.827252004774644</v>
      </c>
      <c r="AB28" s="146">
        <v>3.6885279365698715</v>
      </c>
      <c r="AC28" s="146">
        <v>3.5592102184681496</v>
      </c>
      <c r="AD28" s="146">
        <v>3.4384121890893793</v>
      </c>
      <c r="AE28" s="146">
        <v>3.325350048176342</v>
      </c>
    </row>
    <row r="29" spans="1:31" ht="12.75">
      <c r="A29" s="145">
        <v>24</v>
      </c>
      <c r="B29" s="146">
        <v>21.243387257627877</v>
      </c>
      <c r="C29" s="146">
        <v>18.913925603057756</v>
      </c>
      <c r="D29" s="146">
        <v>16.935542122016354</v>
      </c>
      <c r="E29" s="146">
        <v>15.246963141396941</v>
      </c>
      <c r="F29" s="146">
        <v>13.798641794346995</v>
      </c>
      <c r="G29" s="146">
        <v>12.550357527764518</v>
      </c>
      <c r="H29" s="146">
        <v>11.46933400073148</v>
      </c>
      <c r="I29" s="146">
        <v>10.528758283675668</v>
      </c>
      <c r="J29" s="146">
        <v>9.706611769393852</v>
      </c>
      <c r="K29" s="146">
        <v>8.984744020052295</v>
      </c>
      <c r="L29" s="146">
        <v>8.348136577780265</v>
      </c>
      <c r="M29" s="146">
        <v>7.7843158055123</v>
      </c>
      <c r="N29" s="146">
        <v>7.282883025665165</v>
      </c>
      <c r="O29" s="146">
        <v>6.835137278558391</v>
      </c>
      <c r="P29" s="146">
        <v>6.433771448060661</v>
      </c>
      <c r="Q29" s="146">
        <v>6.072626687819447</v>
      </c>
      <c r="R29" s="146">
        <v>5.7464933208069695</v>
      </c>
      <c r="S29" s="146">
        <v>5.450948899438524</v>
      </c>
      <c r="T29" s="146">
        <v>5.182226071255466</v>
      </c>
      <c r="U29" s="146">
        <v>4.937104423937623</v>
      </c>
      <c r="V29" s="146">
        <v>4.712821680722878</v>
      </c>
      <c r="W29" s="146">
        <v>4.507000557760677</v>
      </c>
      <c r="X29" s="146">
        <v>4.317588335745923</v>
      </c>
      <c r="Y29" s="146">
        <v>4.142806783409882</v>
      </c>
      <c r="Z29" s="146">
        <v>3.9811105340685216</v>
      </c>
      <c r="AA29" s="146">
        <v>3.831152384741781</v>
      </c>
      <c r="AB29" s="146">
        <v>3.691754280763678</v>
      </c>
      <c r="AC29" s="146">
        <v>3.561882983178242</v>
      </c>
      <c r="AD29" s="146">
        <v>3.4406296039452555</v>
      </c>
      <c r="AE29" s="146">
        <v>3.3271923447510323</v>
      </c>
    </row>
    <row r="30" spans="1:31" ht="12.75">
      <c r="A30" s="145">
        <v>25</v>
      </c>
      <c r="B30" s="146">
        <v>22.023155700621675</v>
      </c>
      <c r="C30" s="146">
        <v>19.52345647358603</v>
      </c>
      <c r="D30" s="146">
        <v>17.413147691278013</v>
      </c>
      <c r="E30" s="146">
        <v>15.622079943650906</v>
      </c>
      <c r="F30" s="146">
        <v>14.093944566044758</v>
      </c>
      <c r="G30" s="204">
        <v>12.783356158268413</v>
      </c>
      <c r="H30" s="146">
        <v>11.653583178253719</v>
      </c>
      <c r="I30" s="204">
        <v>10.67477618858858</v>
      </c>
      <c r="J30" s="146">
        <v>9.822579604948489</v>
      </c>
      <c r="K30" s="204">
        <v>9.07704001822936</v>
      </c>
      <c r="L30" s="146">
        <v>8.421744664666905</v>
      </c>
      <c r="M30" s="146">
        <v>7.843139112064553</v>
      </c>
      <c r="N30" s="146">
        <v>7.329984978464748</v>
      </c>
      <c r="O30" s="146">
        <v>6.872927437331922</v>
      </c>
      <c r="P30" s="146">
        <v>6.46414908527014</v>
      </c>
      <c r="Q30" s="146">
        <v>6.097091972258144</v>
      </c>
      <c r="R30" s="146">
        <v>5.766233607527324</v>
      </c>
      <c r="S30" s="146">
        <v>5.4669058469818</v>
      </c>
      <c r="T30" s="146">
        <v>5.195147959038207</v>
      </c>
      <c r="U30" s="146">
        <v>4.947587019948019</v>
      </c>
      <c r="V30" s="146">
        <v>4.721340232002378</v>
      </c>
      <c r="W30" s="146">
        <v>4.513934883410391</v>
      </c>
      <c r="X30" s="146">
        <v>4.323242549386929</v>
      </c>
      <c r="Y30" s="146">
        <v>4.14742482533055</v>
      </c>
      <c r="Z30" s="146">
        <v>3.984888427254817</v>
      </c>
      <c r="AA30" s="146">
        <v>3.834247924398239</v>
      </c>
      <c r="AB30" s="146">
        <v>3.694294709262739</v>
      </c>
      <c r="AC30" s="146">
        <v>3.563971080608001</v>
      </c>
      <c r="AD30" s="146">
        <v>3.4423485301901207</v>
      </c>
      <c r="AE30" s="146">
        <v>3.3286094959623327</v>
      </c>
    </row>
    <row r="31" spans="1:31" ht="12.75">
      <c r="A31" s="145">
        <v>26</v>
      </c>
      <c r="B31" s="146">
        <v>22.795203663981855</v>
      </c>
      <c r="C31" s="146">
        <v>20.121035758417683</v>
      </c>
      <c r="D31" s="146">
        <v>17.876842418716517</v>
      </c>
      <c r="E31" s="146">
        <v>15.982769176587407</v>
      </c>
      <c r="F31" s="146">
        <v>14.375185300995007</v>
      </c>
      <c r="G31" s="146">
        <v>13.003166187045673</v>
      </c>
      <c r="H31" s="146">
        <v>11.825778671265157</v>
      </c>
      <c r="I31" s="146">
        <v>10.809977952396835</v>
      </c>
      <c r="J31" s="146">
        <v>9.928972114631641</v>
      </c>
      <c r="K31" s="146">
        <v>9.1609454711176</v>
      </c>
      <c r="L31" s="146">
        <v>8.488058256456672</v>
      </c>
      <c r="M31" s="146">
        <v>7.895659921486208</v>
      </c>
      <c r="N31" s="146">
        <v>7.3716681225351754</v>
      </c>
      <c r="O31" s="146">
        <v>6.906076699413966</v>
      </c>
      <c r="P31" s="146">
        <v>6.490564421974034</v>
      </c>
      <c r="Q31" s="146">
        <v>6.118182734705297</v>
      </c>
      <c r="R31" s="146">
        <v>5.7831056474592515</v>
      </c>
      <c r="S31" s="146">
        <v>5.480428683882882</v>
      </c>
      <c r="T31" s="146">
        <v>5.2060066882674</v>
      </c>
      <c r="U31" s="146">
        <v>4.956322516623349</v>
      </c>
      <c r="V31" s="146">
        <v>4.728380357026759</v>
      </c>
      <c r="W31" s="146">
        <v>4.519618756893763</v>
      </c>
      <c r="X31" s="146">
        <v>4.327839471046284</v>
      </c>
      <c r="Y31" s="146">
        <v>4.151149052685927</v>
      </c>
      <c r="Z31" s="146">
        <v>3.9879107418038537</v>
      </c>
      <c r="AA31" s="146">
        <v>3.836704701903364</v>
      </c>
      <c r="AB31" s="146">
        <v>3.6962950466635736</v>
      </c>
      <c r="AC31" s="146">
        <v>3.565602406725001</v>
      </c>
      <c r="AD31" s="146">
        <v>3.4436810311551325</v>
      </c>
      <c r="AE31" s="146">
        <v>3.3296996122787177</v>
      </c>
    </row>
    <row r="32" spans="1:31" ht="12.75">
      <c r="A32" s="145">
        <v>27</v>
      </c>
      <c r="B32" s="146">
        <v>23.559607588100818</v>
      </c>
      <c r="C32" s="146">
        <v>20.70689780237027</v>
      </c>
      <c r="D32" s="146">
        <v>18.327031474482055</v>
      </c>
      <c r="E32" s="146">
        <v>16.32958574671866</v>
      </c>
      <c r="F32" s="146">
        <v>14.643033619995247</v>
      </c>
      <c r="G32" s="146">
        <v>13.210534138722334</v>
      </c>
      <c r="H32" s="146">
        <v>11.98670903856557</v>
      </c>
      <c r="I32" s="146">
        <v>10.93516477073781</v>
      </c>
      <c r="J32" s="146">
        <v>10.026579921680405</v>
      </c>
      <c r="K32" s="146">
        <v>9.237223155561454</v>
      </c>
      <c r="L32" s="146">
        <v>8.547800231042046</v>
      </c>
      <c r="M32" s="146">
        <v>7.942553501326972</v>
      </c>
      <c r="N32" s="146">
        <v>7.408555860650597</v>
      </c>
      <c r="O32" s="146">
        <v>6.935154999485935</v>
      </c>
      <c r="P32" s="146">
        <v>6.513534279977422</v>
      </c>
      <c r="Q32" s="146">
        <v>6.136364426470083</v>
      </c>
      <c r="R32" s="146">
        <v>5.797526194409617</v>
      </c>
      <c r="S32" s="146">
        <v>5.4918887151549844</v>
      </c>
      <c r="T32" s="146">
        <v>5.215131670812942</v>
      </c>
      <c r="U32" s="146">
        <v>4.963602097186124</v>
      </c>
      <c r="V32" s="146">
        <v>4.734198642170875</v>
      </c>
      <c r="W32" s="146">
        <v>4.524277669585052</v>
      </c>
      <c r="X32" s="146">
        <v>4.3315768057286865</v>
      </c>
      <c r="Y32" s="146">
        <v>4.1541524618434895</v>
      </c>
      <c r="Z32" s="146">
        <v>3.990328593443083</v>
      </c>
      <c r="AA32" s="146">
        <v>3.8386545253201305</v>
      </c>
      <c r="AB32" s="146">
        <v>3.697870115483129</v>
      </c>
      <c r="AC32" s="146">
        <v>3.566876880253907</v>
      </c>
      <c r="AD32" s="146">
        <v>3.4447139776396374</v>
      </c>
      <c r="AE32" s="146">
        <v>3.3305381632913207</v>
      </c>
    </row>
    <row r="33" spans="1:31" ht="12.75">
      <c r="A33" s="145">
        <v>28</v>
      </c>
      <c r="B33" s="146">
        <v>24.31644315653547</v>
      </c>
      <c r="C33" s="146">
        <v>21.281272355264978</v>
      </c>
      <c r="D33" s="146">
        <v>18.764108227652482</v>
      </c>
      <c r="E33" s="146">
        <v>16.66306321799871</v>
      </c>
      <c r="F33" s="146">
        <v>14.898127257138327</v>
      </c>
      <c r="G33" s="146">
        <v>13.406164281813522</v>
      </c>
      <c r="H33" s="146">
        <v>12.137111250995858</v>
      </c>
      <c r="I33" s="146">
        <v>11.051078491423898</v>
      </c>
      <c r="J33" s="146">
        <v>10.116128368514133</v>
      </c>
      <c r="K33" s="146">
        <v>9.306566505055867</v>
      </c>
      <c r="L33" s="146">
        <v>8.601621829767609</v>
      </c>
      <c r="M33" s="146">
        <v>7.984422769041939</v>
      </c>
      <c r="N33" s="146">
        <v>7.441199876681945</v>
      </c>
      <c r="O33" s="146">
        <v>6.96066228025082</v>
      </c>
      <c r="P33" s="146">
        <v>6.533508069545584</v>
      </c>
      <c r="Q33" s="146">
        <v>6.152038298681106</v>
      </c>
      <c r="R33" s="146">
        <v>5.809851448213347</v>
      </c>
      <c r="S33" s="146">
        <v>5.501600606063546</v>
      </c>
      <c r="T33" s="146">
        <v>5.222799723372219</v>
      </c>
      <c r="U33" s="146">
        <v>4.96966841432177</v>
      </c>
      <c r="V33" s="146">
        <v>4.739007142289979</v>
      </c>
      <c r="W33" s="146">
        <v>4.528096450479551</v>
      </c>
      <c r="X33" s="146">
        <v>4.334615289210314</v>
      </c>
      <c r="Y33" s="146">
        <v>4.156574566002814</v>
      </c>
      <c r="Z33" s="146">
        <v>3.9922628747544664</v>
      </c>
      <c r="AA33" s="146">
        <v>3.8402020042223257</v>
      </c>
      <c r="AB33" s="146">
        <v>3.69911032715207</v>
      </c>
      <c r="AC33" s="146">
        <v>3.5678725626983647</v>
      </c>
      <c r="AD33" s="146">
        <v>3.4455147113485562</v>
      </c>
      <c r="AE33" s="146">
        <v>3.3311832025317853</v>
      </c>
    </row>
    <row r="34" spans="1:31" ht="12.75">
      <c r="A34" s="145">
        <v>29</v>
      </c>
      <c r="B34" s="146">
        <v>25.065785303500466</v>
      </c>
      <c r="C34" s="146">
        <v>21.844384662024485</v>
      </c>
      <c r="D34" s="146">
        <v>19.188454589953864</v>
      </c>
      <c r="E34" s="146">
        <v>16.983714632691072</v>
      </c>
      <c r="F34" s="146">
        <v>15.14107357822698</v>
      </c>
      <c r="G34" s="146">
        <v>13.590721020578794</v>
      </c>
      <c r="H34" s="146">
        <v>12.27767406635127</v>
      </c>
      <c r="I34" s="146">
        <v>11.158406010577682</v>
      </c>
      <c r="J34" s="146">
        <v>10.1982829068937</v>
      </c>
      <c r="K34" s="146">
        <v>9.369605913687153</v>
      </c>
      <c r="L34" s="146">
        <v>8.650109756547396</v>
      </c>
      <c r="M34" s="146">
        <v>8.021806043787446</v>
      </c>
      <c r="N34" s="146">
        <v>7.470088386444199</v>
      </c>
      <c r="O34" s="146">
        <v>6.983037087939316</v>
      </c>
      <c r="P34" s="146">
        <v>6.550876582213551</v>
      </c>
      <c r="Q34" s="146">
        <v>6.165550257483712</v>
      </c>
      <c r="R34" s="146">
        <v>5.820385853173801</v>
      </c>
      <c r="S34" s="146">
        <v>5.509831022087751</v>
      </c>
      <c r="T34" s="146">
        <v>5.229243465018672</v>
      </c>
      <c r="U34" s="146">
        <v>4.9747236786014755</v>
      </c>
      <c r="V34" s="146">
        <v>4.742981109330561</v>
      </c>
      <c r="W34" s="146">
        <v>4.5312265987537295</v>
      </c>
      <c r="X34" s="146">
        <v>4.337085600983995</v>
      </c>
      <c r="Y34" s="146">
        <v>4.158527875808721</v>
      </c>
      <c r="Z34" s="146">
        <v>3.993810299803573</v>
      </c>
      <c r="AA34" s="146">
        <v>3.8414301620812106</v>
      </c>
      <c r="AB34" s="146">
        <v>3.700086871773283</v>
      </c>
      <c r="AC34" s="146">
        <v>3.5686504396080974</v>
      </c>
      <c r="AD34" s="146">
        <v>3.4461354351539195</v>
      </c>
      <c r="AE34" s="146">
        <v>3.3316793865629117</v>
      </c>
    </row>
    <row r="35" spans="1:31" ht="12.75">
      <c r="A35" s="145">
        <v>30</v>
      </c>
      <c r="B35" s="146">
        <v>25.807708221287605</v>
      </c>
      <c r="C35" s="146">
        <v>22.3964555510044</v>
      </c>
      <c r="D35" s="146">
        <v>19.60044134946977</v>
      </c>
      <c r="E35" s="146">
        <v>17.292033300664492</v>
      </c>
      <c r="F35" s="146">
        <v>15.372451026882835</v>
      </c>
      <c r="G35" s="146">
        <v>13.764831151489428</v>
      </c>
      <c r="H35" s="146">
        <v>12.409041183505858</v>
      </c>
      <c r="I35" s="146">
        <v>11.257783343127485</v>
      </c>
      <c r="J35" s="146">
        <v>10.273654043021743</v>
      </c>
      <c r="K35" s="146">
        <v>9.42691446698832</v>
      </c>
      <c r="L35" s="146">
        <v>8.693792573466123</v>
      </c>
      <c r="M35" s="146">
        <v>8.055183967667363</v>
      </c>
      <c r="N35" s="146">
        <v>7.495653439331149</v>
      </c>
      <c r="O35" s="146">
        <v>7.00266411222747</v>
      </c>
      <c r="P35" s="146">
        <v>6.565979636707436</v>
      </c>
      <c r="Q35" s="146">
        <v>6.177198497830787</v>
      </c>
      <c r="R35" s="146">
        <v>5.829389618097266</v>
      </c>
      <c r="S35" s="146">
        <v>5.516805950921823</v>
      </c>
      <c r="T35" s="146">
        <v>5.234658373965271</v>
      </c>
      <c r="U35" s="146">
        <v>4.978936398834563</v>
      </c>
      <c r="V35" s="146">
        <v>4.746265379612034</v>
      </c>
      <c r="W35" s="146">
        <v>4.533792294060434</v>
      </c>
      <c r="X35" s="146">
        <v>4.339093984539833</v>
      </c>
      <c r="Y35" s="146">
        <v>4.160103125652195</v>
      </c>
      <c r="Z35" s="146">
        <v>3.9950482398428586</v>
      </c>
      <c r="AA35" s="146">
        <v>3.842404890540643</v>
      </c>
      <c r="AB35" s="146">
        <v>3.7008558045458924</v>
      </c>
      <c r="AC35" s="146">
        <v>3.569258155943826</v>
      </c>
      <c r="AD35" s="146">
        <v>3.4466166163983876</v>
      </c>
      <c r="AE35" s="146">
        <v>3.332061066586855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6.375" style="0" bestFit="1" customWidth="1"/>
    <col min="2" max="2" width="16.00390625" style="0" bestFit="1" customWidth="1"/>
    <col min="5" max="5" width="16.25390625" style="0" bestFit="1" customWidth="1"/>
    <col min="6" max="6" width="16.00390625" style="0" bestFit="1" customWidth="1"/>
  </cols>
  <sheetData>
    <row r="1" spans="1:5" ht="12.75">
      <c r="A1" s="37" t="s">
        <v>43</v>
      </c>
      <c r="E1" s="37" t="s">
        <v>43</v>
      </c>
    </row>
    <row r="2" spans="1:6" ht="12.75">
      <c r="A2" s="40" t="s">
        <v>44</v>
      </c>
      <c r="B2" s="40">
        <v>800000</v>
      </c>
      <c r="E2" s="40" t="s">
        <v>44</v>
      </c>
      <c r="F2" s="40">
        <v>800000</v>
      </c>
    </row>
    <row r="3" spans="1:6" ht="12.75">
      <c r="A3" s="40" t="s">
        <v>45</v>
      </c>
      <c r="B3" s="40">
        <v>0.08</v>
      </c>
      <c r="E3" s="40" t="s">
        <v>45</v>
      </c>
      <c r="F3" s="40">
        <v>0.06</v>
      </c>
    </row>
    <row r="4" spans="1:6" ht="12.75">
      <c r="A4" s="40" t="s">
        <v>46</v>
      </c>
      <c r="B4" s="40">
        <v>4</v>
      </c>
      <c r="E4" s="40" t="s">
        <v>46</v>
      </c>
      <c r="F4" s="40">
        <v>4</v>
      </c>
    </row>
    <row r="5" spans="1:6" ht="12.75">
      <c r="A5" s="41" t="s">
        <v>47</v>
      </c>
      <c r="B5" s="116"/>
      <c r="E5" s="41" t="s">
        <v>47</v>
      </c>
      <c r="F5" s="116"/>
    </row>
    <row r="8" spans="1:5" ht="12.75">
      <c r="A8" s="37" t="s">
        <v>48</v>
      </c>
      <c r="E8" s="37" t="s">
        <v>48</v>
      </c>
    </row>
    <row r="9" spans="1:6" ht="12.75">
      <c r="A9" s="40" t="s">
        <v>44</v>
      </c>
      <c r="B9" s="40">
        <v>100000</v>
      </c>
      <c r="E9" s="40" t="s">
        <v>44</v>
      </c>
      <c r="F9" s="40">
        <v>3000000</v>
      </c>
    </row>
    <row r="10" spans="1:6" ht="12.75">
      <c r="A10" s="40" t="s">
        <v>45</v>
      </c>
      <c r="B10" s="40">
        <v>0.07</v>
      </c>
      <c r="E10" s="40" t="s">
        <v>45</v>
      </c>
      <c r="F10" s="40">
        <v>0.07</v>
      </c>
    </row>
    <row r="11" spans="1:6" ht="12.75">
      <c r="A11" s="40" t="s">
        <v>46</v>
      </c>
      <c r="B11" s="40">
        <v>12</v>
      </c>
      <c r="E11" s="40" t="s">
        <v>46</v>
      </c>
      <c r="F11" s="40">
        <v>12</v>
      </c>
    </row>
    <row r="12" spans="1:6" ht="12.75">
      <c r="A12" s="41" t="s">
        <v>47</v>
      </c>
      <c r="B12" s="116"/>
      <c r="E12" s="41" t="s">
        <v>47</v>
      </c>
      <c r="F12" s="116"/>
    </row>
    <row r="15" spans="1:5" ht="12.75">
      <c r="A15" s="37" t="s">
        <v>49</v>
      </c>
      <c r="E15" s="37" t="s">
        <v>49</v>
      </c>
    </row>
    <row r="16" spans="1:6" ht="12.75">
      <c r="A16" s="40" t="s">
        <v>44</v>
      </c>
      <c r="B16" s="40">
        <v>4000000</v>
      </c>
      <c r="E16" s="40" t="s">
        <v>44</v>
      </c>
      <c r="F16" s="40">
        <v>1000000</v>
      </c>
    </row>
    <row r="17" spans="1:6" ht="12.75">
      <c r="A17" s="40" t="s">
        <v>45</v>
      </c>
      <c r="B17" s="40">
        <v>0.1</v>
      </c>
      <c r="E17" s="40" t="s">
        <v>45</v>
      </c>
      <c r="F17" s="40">
        <v>0.06</v>
      </c>
    </row>
    <row r="18" spans="1:6" ht="12.75">
      <c r="A18" s="40" t="s">
        <v>46</v>
      </c>
      <c r="B18" s="40">
        <f>3*2</f>
        <v>6</v>
      </c>
      <c r="E18" s="40" t="s">
        <v>46</v>
      </c>
      <c r="F18" s="40">
        <v>10</v>
      </c>
    </row>
    <row r="19" spans="1:6" ht="12.75">
      <c r="A19" s="41" t="s">
        <v>39</v>
      </c>
      <c r="B19" s="116"/>
      <c r="E19" s="41" t="s">
        <v>39</v>
      </c>
      <c r="F19" s="116"/>
    </row>
    <row r="23" ht="12.75">
      <c r="A23" t="s">
        <v>59</v>
      </c>
    </row>
    <row r="24" ht="12.75">
      <c r="A24" t="s">
        <v>60</v>
      </c>
    </row>
    <row r="25" spans="1:2" ht="12.75">
      <c r="A25">
        <v>0.09</v>
      </c>
      <c r="B25" t="s">
        <v>61</v>
      </c>
    </row>
    <row r="26" spans="1:2" ht="12.75">
      <c r="A26">
        <v>500000</v>
      </c>
      <c r="B26" s="117"/>
    </row>
    <row r="27" ht="12.75">
      <c r="A27">
        <v>5</v>
      </c>
    </row>
    <row r="28" ht="12.75">
      <c r="A28" t="s">
        <v>62</v>
      </c>
    </row>
    <row r="29" ht="12.75">
      <c r="A29" t="s">
        <v>94</v>
      </c>
    </row>
    <row r="30" spans="1:2" ht="12.75">
      <c r="A30">
        <v>0.05</v>
      </c>
      <c r="B30" t="s">
        <v>63</v>
      </c>
    </row>
    <row r="31" spans="1:2" ht="12.75">
      <c r="A31">
        <v>100000</v>
      </c>
      <c r="B31" s="117"/>
    </row>
    <row r="32" ht="12.75">
      <c r="A32">
        <v>4</v>
      </c>
    </row>
    <row r="33" ht="12.75">
      <c r="A33" t="s">
        <v>64</v>
      </c>
    </row>
    <row r="34" spans="1:2" ht="12.75">
      <c r="A34">
        <v>0.06</v>
      </c>
      <c r="B34" t="s">
        <v>65</v>
      </c>
    </row>
    <row r="35" spans="1:2" ht="12.75">
      <c r="A35">
        <v>1000000</v>
      </c>
      <c r="B35" s="117"/>
    </row>
    <row r="36" ht="12.75">
      <c r="A36">
        <v>7</v>
      </c>
    </row>
    <row r="37" ht="12.75">
      <c r="A37" t="s">
        <v>66</v>
      </c>
    </row>
    <row r="38" ht="12.75">
      <c r="A38" t="s">
        <v>93</v>
      </c>
    </row>
    <row r="39" spans="1:2" ht="12.75">
      <c r="A39">
        <v>0.06</v>
      </c>
      <c r="B39" t="s">
        <v>67</v>
      </c>
    </row>
    <row r="40" spans="1:2" ht="12.75">
      <c r="A40">
        <v>1000000</v>
      </c>
      <c r="B40" s="117"/>
    </row>
    <row r="41" ht="12.75">
      <c r="A41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\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dcd</dc:creator>
  <cp:keywords/>
  <dc:description/>
  <cp:lastModifiedBy>user</cp:lastModifiedBy>
  <cp:lastPrinted>2006-05-22T14:03:46Z</cp:lastPrinted>
  <dcterms:created xsi:type="dcterms:W3CDTF">2001-07-03T09:07:06Z</dcterms:created>
  <dcterms:modified xsi:type="dcterms:W3CDTF">2016-10-15T16:06:38Z</dcterms:modified>
  <cp:category/>
  <cp:version/>
  <cp:contentType/>
  <cp:contentStatus/>
</cp:coreProperties>
</file>