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40" yWindow="60" windowWidth="11340" windowHeight="7560" firstSheet="10" activeTab="11"/>
  </bookViews>
  <sheets>
    <sheet name="ΚΛΙΚ ΕΔΩ!!" sheetId="22" r:id="rId1"/>
    <sheet name="ΕΙΣΑΓΩΓΗ" sheetId="21" r:id="rId2"/>
    <sheet name="ΛΟΓΙΣΤΙΚΗ" sheetId="18" r:id="rId3"/>
    <sheet name="LOG1" sheetId="13" r:id="rId4"/>
    <sheet name="LOG2" sheetId="46" r:id="rId5"/>
    <sheet name="LOG3" sheetId="47" r:id="rId6"/>
    <sheet name="DEPRECIATION" sheetId="30" r:id="rId7"/>
    <sheet name="BYTE1" sheetId="39" r:id="rId8"/>
    <sheet name="BYTE1-ΛΥΣΗ" sheetId="38" r:id="rId9"/>
    <sheet name="ΜΑΡΚΕΤΙΝΓΚ" sheetId="19" r:id="rId10"/>
    <sheet name="PRICE1" sheetId="23" r:id="rId11"/>
    <sheet name="MARKET-SHARE" sheetId="25" r:id="rId12"/>
    <sheet name="ΝΕΚΡΟ-ΣΗΜΕΙΟ" sheetId="20" r:id="rId13"/>
    <sheet name="BEP" sheetId="32" r:id="rId14"/>
    <sheet name="BEP W-PROFIT" sheetId="31" r:id="rId15"/>
    <sheet name="ΔΕΙΚΤΕΣ &amp; Ν.Σ." sheetId="36" r:id="rId16"/>
    <sheet name="ΧΡΗΜΑΤΟΔΟΤΗΣΗ" sheetId="26" r:id="rId17"/>
    <sheet name="FINANCE" sheetId="27" r:id="rId18"/>
    <sheet name="PROJECT-NPV" sheetId="45" r:id="rId19"/>
    <sheet name="LOAN" sheetId="33" r:id="rId20"/>
    <sheet name="ΣΤΑΤΙΣΤΙΚΗ" sheetId="37" r:id="rId21"/>
    <sheet name="ANALYSIS" sheetId="35" r:id="rId22"/>
    <sheet name="ΑΡΙΘΜΟΔΕΙΚΤΕΣ" sheetId="28" r:id="rId23"/>
    <sheet name="ECONOMICS" sheetId="48" r:id="rId24"/>
    <sheet name="BUDGET" sheetId="52" r:id="rId25"/>
    <sheet name="BUDGET-1" sheetId="51" r:id="rId26"/>
    <sheet name="BUDGET2" sheetId="50" r:id="rId27"/>
    <sheet name="BUDGET-2-ΛΥΣΗ" sheetId="49" r:id="rId28"/>
    <sheet name="ΜΕΡΙΣΜΟΣ-ΚΟΙΝΟΧΡΗΣΤΑ" sheetId="53" r:id="rId29"/>
    <sheet name="ABC" sheetId="43" r:id="rId30"/>
    <sheet name="ABC-ΛΥΣΗ" sheetId="42" r:id="rId31"/>
    <sheet name="AGING" sheetId="40" r:id="rId32"/>
    <sheet name="AGING-ΛΥΣΗ" sheetId="41" r:id="rId33"/>
  </sheets>
  <calcPr calcId="144525"/>
</workbook>
</file>

<file path=xl/calcChain.xml><?xml version="1.0" encoding="utf-8"?>
<calcChain xmlns="http://schemas.openxmlformats.org/spreadsheetml/2006/main">
  <c r="D2" i="42" l="1"/>
  <c r="D3" i="42"/>
  <c r="D4" i="42"/>
  <c r="D5" i="42"/>
  <c r="D6" i="42"/>
  <c r="D7" i="42"/>
  <c r="D8" i="42"/>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E8" i="42"/>
  <c r="H3" i="42"/>
  <c r="F3" i="42"/>
  <c r="G3" i="42"/>
  <c r="B18" i="40"/>
  <c r="B21" i="40"/>
  <c r="B19" i="40"/>
  <c r="B20" i="40"/>
  <c r="C20" i="40"/>
  <c r="C13" i="40"/>
  <c r="D12" i="40"/>
  <c r="D11" i="40"/>
  <c r="D10" i="40"/>
  <c r="D9" i="40"/>
  <c r="C19" i="41"/>
  <c r="D18" i="41"/>
  <c r="D17" i="41"/>
  <c r="D16" i="41"/>
  <c r="D15" i="41"/>
  <c r="D14" i="41"/>
  <c r="D13" i="41"/>
  <c r="D12" i="41"/>
  <c r="D11" i="41"/>
  <c r="D10" i="41"/>
  <c r="F5" i="41"/>
  <c r="G5" i="41"/>
  <c r="F6" i="41"/>
  <c r="F7" i="41"/>
  <c r="G7" i="41"/>
  <c r="H7" i="41"/>
  <c r="F8" i="41"/>
  <c r="F9" i="41"/>
  <c r="G6" i="41"/>
  <c r="G8" i="41"/>
  <c r="D9" i="41"/>
  <c r="D8" i="41"/>
  <c r="D7" i="41"/>
  <c r="D6" i="41"/>
  <c r="D5" i="41"/>
  <c r="D4" i="41"/>
  <c r="G6" i="35"/>
  <c r="E7" i="35"/>
  <c r="E10" i="35"/>
  <c r="H7" i="35"/>
  <c r="G7" i="35"/>
  <c r="G8" i="35"/>
  <c r="G9" i="35"/>
  <c r="H10" i="35"/>
  <c r="I10" i="35"/>
  <c r="G11" i="35"/>
  <c r="H12" i="35"/>
  <c r="I12" i="35"/>
  <c r="G13" i="35"/>
  <c r="H14" i="35"/>
  <c r="I14" i="35"/>
  <c r="G5" i="35"/>
  <c r="D6" i="35"/>
  <c r="B7" i="35"/>
  <c r="D7" i="35"/>
  <c r="D8" i="35"/>
  <c r="D9" i="35"/>
  <c r="B10" i="35"/>
  <c r="D11" i="35"/>
  <c r="D13" i="35"/>
  <c r="D5" i="35"/>
  <c r="I6" i="35"/>
  <c r="I7" i="35"/>
  <c r="I8" i="35"/>
  <c r="I9" i="35"/>
  <c r="I11" i="35"/>
  <c r="I13" i="35"/>
  <c r="I5" i="35"/>
  <c r="F6" i="35"/>
  <c r="F7" i="35"/>
  <c r="F8" i="35"/>
  <c r="F9" i="35"/>
  <c r="F11" i="35"/>
  <c r="F13" i="35"/>
  <c r="F5" i="35"/>
  <c r="C6" i="35"/>
  <c r="C7" i="35"/>
  <c r="C8" i="35"/>
  <c r="C9" i="35"/>
  <c r="C11" i="35"/>
  <c r="C13" i="35"/>
  <c r="C5" i="35"/>
  <c r="B7" i="32"/>
  <c r="A20" i="32"/>
  <c r="B20" i="32"/>
  <c r="F20" i="32"/>
  <c r="D20" i="32"/>
  <c r="C20" i="32"/>
  <c r="E20" i="32"/>
  <c r="A19" i="32"/>
  <c r="B19" i="32"/>
  <c r="F19" i="32"/>
  <c r="D19" i="32"/>
  <c r="C19" i="32"/>
  <c r="E19" i="32"/>
  <c r="A18" i="32"/>
  <c r="B18" i="32"/>
  <c r="F18" i="32"/>
  <c r="D18" i="32"/>
  <c r="C18" i="32"/>
  <c r="E18" i="32"/>
  <c r="A17" i="32"/>
  <c r="B17" i="32"/>
  <c r="F17" i="32"/>
  <c r="D17" i="32"/>
  <c r="C17" i="32"/>
  <c r="E17" i="32"/>
  <c r="A16" i="32"/>
  <c r="B16" i="32"/>
  <c r="F16" i="32"/>
  <c r="D16" i="32"/>
  <c r="C16" i="32"/>
  <c r="E16" i="32"/>
  <c r="A15" i="32"/>
  <c r="B15" i="32"/>
  <c r="F15" i="32"/>
  <c r="D15" i="32"/>
  <c r="C15" i="32"/>
  <c r="E15" i="32"/>
  <c r="A14" i="32"/>
  <c r="B14" i="32"/>
  <c r="F14" i="32"/>
  <c r="D14" i="32"/>
  <c r="C14" i="32"/>
  <c r="E14" i="32"/>
  <c r="A13" i="32"/>
  <c r="B13" i="32"/>
  <c r="F13" i="32"/>
  <c r="D13" i="32"/>
  <c r="C13" i="32"/>
  <c r="E13" i="32"/>
  <c r="A12" i="32"/>
  <c r="B12" i="32"/>
  <c r="F12" i="32"/>
  <c r="D12" i="32"/>
  <c r="C12" i="32"/>
  <c r="E12" i="32"/>
  <c r="A11" i="32"/>
  <c r="B11" i="32"/>
  <c r="F11" i="32"/>
  <c r="D11" i="32"/>
  <c r="C11" i="32"/>
  <c r="E11" i="32"/>
  <c r="B10" i="32"/>
  <c r="D10" i="32"/>
  <c r="C10" i="32"/>
  <c r="E10" i="32"/>
  <c r="F10" i="32"/>
  <c r="B8" i="32"/>
  <c r="B8" i="31"/>
  <c r="A21" i="31"/>
  <c r="C21" i="31"/>
  <c r="C20" i="31"/>
  <c r="C19" i="31"/>
  <c r="C18" i="31"/>
  <c r="C17" i="31"/>
  <c r="C16" i="31"/>
  <c r="C15" i="31"/>
  <c r="C14" i="31"/>
  <c r="C13" i="31"/>
  <c r="C12" i="31"/>
  <c r="B11" i="31"/>
  <c r="D11" i="31"/>
  <c r="C11" i="31"/>
  <c r="E11" i="31"/>
  <c r="F11" i="31"/>
  <c r="B9" i="31"/>
  <c r="B12" i="51"/>
  <c r="C12" i="51"/>
  <c r="F12" i="51"/>
  <c r="D12" i="51"/>
  <c r="E12" i="51"/>
  <c r="E15" i="51"/>
  <c r="B13" i="51"/>
  <c r="C13" i="51"/>
  <c r="D13" i="51"/>
  <c r="E13" i="51"/>
  <c r="F13" i="51"/>
  <c r="B14" i="51"/>
  <c r="C14" i="51"/>
  <c r="F14" i="51"/>
  <c r="D14" i="51"/>
  <c r="E14" i="51"/>
  <c r="D15" i="51"/>
  <c r="B15" i="51"/>
  <c r="F6" i="51"/>
  <c r="F7" i="51"/>
  <c r="F8" i="51"/>
  <c r="F9" i="51"/>
  <c r="E9" i="51"/>
  <c r="D9" i="51"/>
  <c r="C9" i="51"/>
  <c r="B9" i="51"/>
  <c r="A52" i="49"/>
  <c r="D16" i="49"/>
  <c r="D15" i="49"/>
  <c r="D14" i="49"/>
  <c r="A38" i="49"/>
  <c r="D34" i="49"/>
  <c r="A34" i="49"/>
  <c r="A33" i="49"/>
  <c r="B31" i="49"/>
  <c r="B30" i="49"/>
  <c r="A31" i="49"/>
  <c r="A30" i="49"/>
  <c r="A29" i="49"/>
  <c r="B26" i="49"/>
  <c r="B25" i="49"/>
  <c r="B24" i="49"/>
  <c r="B23" i="49"/>
  <c r="A16" i="49"/>
  <c r="A20" i="49"/>
  <c r="A26" i="49"/>
  <c r="A15" i="49"/>
  <c r="A19" i="49"/>
  <c r="A25" i="49"/>
  <c r="A14" i="49"/>
  <c r="A18" i="49"/>
  <c r="A24" i="49"/>
  <c r="A23" i="49"/>
  <c r="A22" i="49"/>
  <c r="B20" i="49"/>
  <c r="B19" i="49"/>
  <c r="B18" i="49"/>
  <c r="B16" i="49"/>
  <c r="B15" i="49"/>
  <c r="B14" i="49"/>
  <c r="A12" i="49"/>
  <c r="D9" i="49"/>
  <c r="D7" i="49"/>
  <c r="A6" i="49"/>
  <c r="C4" i="49"/>
  <c r="C3" i="49"/>
  <c r="B4" i="49"/>
  <c r="B3" i="49"/>
  <c r="A4" i="49"/>
  <c r="A3" i="49"/>
  <c r="A2" i="49"/>
  <c r="A1" i="49"/>
  <c r="D4" i="49"/>
  <c r="C53" i="49"/>
  <c r="B49" i="49"/>
  <c r="D49" i="49"/>
  <c r="A46" i="49"/>
  <c r="A49" i="49"/>
  <c r="B46" i="49"/>
  <c r="D46" i="49"/>
  <c r="C41" i="49"/>
  <c r="B41" i="49"/>
  <c r="D41" i="49"/>
  <c r="C42" i="49"/>
  <c r="B42" i="49"/>
  <c r="D42" i="49"/>
  <c r="C43" i="49"/>
  <c r="B43" i="49"/>
  <c r="D43" i="49"/>
  <c r="D45" i="49"/>
  <c r="D48" i="49"/>
  <c r="A45" i="49"/>
  <c r="A48" i="49"/>
  <c r="B45" i="49"/>
  <c r="A43" i="49"/>
  <c r="A42" i="49"/>
  <c r="A41" i="49"/>
  <c r="C40" i="49"/>
  <c r="B40" i="49"/>
  <c r="A40" i="49"/>
  <c r="D8" i="49"/>
  <c r="D10" i="49"/>
  <c r="C31" i="49"/>
  <c r="A36" i="49"/>
  <c r="D30" i="49"/>
  <c r="C30" i="49"/>
  <c r="D18" i="49"/>
  <c r="C24" i="49"/>
  <c r="D24" i="49"/>
  <c r="D20" i="49"/>
  <c r="C26" i="49"/>
  <c r="D26" i="49"/>
  <c r="C23" i="49"/>
  <c r="A17" i="49"/>
  <c r="A13" i="49"/>
  <c r="H4" i="39"/>
  <c r="B7" i="38"/>
  <c r="B8" i="38"/>
  <c r="B9" i="38"/>
  <c r="B10" i="38"/>
  <c r="B11" i="38"/>
  <c r="B23" i="38"/>
  <c r="C7" i="38"/>
  <c r="C8" i="38"/>
  <c r="C9" i="38"/>
  <c r="C10" i="38"/>
  <c r="C11" i="38"/>
  <c r="D7" i="38"/>
  <c r="D8" i="38"/>
  <c r="D9" i="38"/>
  <c r="D10" i="38"/>
  <c r="D11" i="38"/>
  <c r="E7" i="38"/>
  <c r="E8" i="38"/>
  <c r="E9" i="38"/>
  <c r="E10" i="38"/>
  <c r="E11" i="38"/>
  <c r="F7" i="38"/>
  <c r="F8" i="38"/>
  <c r="F9" i="38"/>
  <c r="F10" i="38"/>
  <c r="F11" i="38"/>
  <c r="G7" i="38"/>
  <c r="G8" i="38"/>
  <c r="G9" i="38"/>
  <c r="G10" i="38"/>
  <c r="G11" i="38"/>
  <c r="G22" i="38"/>
  <c r="H22" i="38"/>
  <c r="F22" i="38"/>
  <c r="E22" i="38"/>
  <c r="D22" i="38"/>
  <c r="C22" i="38"/>
  <c r="B22" i="38"/>
  <c r="B13" i="38"/>
  <c r="B14" i="38"/>
  <c r="B15" i="38"/>
  <c r="B16" i="38"/>
  <c r="C13" i="38"/>
  <c r="C16" i="38"/>
  <c r="C14" i="38"/>
  <c r="C15" i="38"/>
  <c r="D14" i="38"/>
  <c r="D15" i="38"/>
  <c r="E14" i="38"/>
  <c r="E15" i="38"/>
  <c r="F14" i="38"/>
  <c r="F15" i="38"/>
  <c r="G14" i="38"/>
  <c r="G15" i="38"/>
  <c r="B19" i="38"/>
  <c r="B20" i="38"/>
  <c r="H15" i="38"/>
  <c r="H14" i="38"/>
  <c r="H11" i="38"/>
  <c r="H10" i="38"/>
  <c r="H9" i="38"/>
  <c r="H8" i="38"/>
  <c r="H7" i="38"/>
  <c r="H6" i="38"/>
  <c r="D6" i="30"/>
  <c r="F6" i="30"/>
  <c r="H6" i="30"/>
  <c r="B21" i="30"/>
  <c r="B22" i="30"/>
  <c r="B23" i="30"/>
  <c r="D5" i="30"/>
  <c r="E5" i="30"/>
  <c r="F5" i="30"/>
  <c r="G5" i="30"/>
  <c r="H5" i="30"/>
  <c r="I5" i="30"/>
  <c r="E6" i="30"/>
  <c r="G6" i="30"/>
  <c r="I6" i="30"/>
  <c r="D7" i="30"/>
  <c r="E7" i="30"/>
  <c r="G7" i="30"/>
  <c r="I7" i="30"/>
  <c r="F7" i="30"/>
  <c r="H7" i="30"/>
  <c r="D4" i="30"/>
  <c r="E4" i="30"/>
  <c r="F4" i="30"/>
  <c r="F8" i="30"/>
  <c r="H4" i="30"/>
  <c r="H8" i="30"/>
  <c r="B8" i="30"/>
  <c r="C7" i="48"/>
  <c r="D7" i="48"/>
  <c r="B20" i="27"/>
  <c r="C20" i="27"/>
  <c r="E20" i="27"/>
  <c r="B19" i="27"/>
  <c r="E19" i="27"/>
  <c r="E18" i="27"/>
  <c r="B17" i="27"/>
  <c r="C17" i="27"/>
  <c r="E17" i="27"/>
  <c r="B16" i="27"/>
  <c r="C16" i="27"/>
  <c r="E16" i="27"/>
  <c r="B15" i="27"/>
  <c r="C15" i="27"/>
  <c r="E15" i="27"/>
  <c r="B14" i="27"/>
  <c r="C14" i="27"/>
  <c r="E14" i="27"/>
  <c r="B13" i="27"/>
  <c r="C13" i="27"/>
  <c r="E13" i="27"/>
  <c r="B12" i="27"/>
  <c r="C12" i="27"/>
  <c r="E12" i="27"/>
  <c r="B11" i="27"/>
  <c r="C11" i="27"/>
  <c r="E11" i="27"/>
  <c r="B10" i="27"/>
  <c r="C10" i="27"/>
  <c r="E10" i="27"/>
  <c r="D8" i="27"/>
  <c r="B8" i="27"/>
  <c r="E8" i="27"/>
  <c r="C8" i="27"/>
  <c r="F8" i="27"/>
  <c r="F7" i="27"/>
  <c r="E7" i="27"/>
  <c r="D4" i="27"/>
  <c r="D5" i="27"/>
  <c r="F5" i="27"/>
  <c r="C4" i="27"/>
  <c r="B4" i="27"/>
  <c r="E5" i="27"/>
  <c r="F4" i="27"/>
  <c r="F3" i="27"/>
  <c r="E3" i="27"/>
  <c r="C9" i="33"/>
  <c r="D14" i="33"/>
  <c r="B14" i="33"/>
  <c r="B20" i="13"/>
  <c r="D11" i="13"/>
  <c r="D12" i="13"/>
  <c r="D13" i="13"/>
  <c r="D17" i="13"/>
  <c r="B24" i="13"/>
  <c r="B26" i="13"/>
  <c r="E12" i="13"/>
  <c r="E11" i="13"/>
  <c r="E13" i="13"/>
  <c r="E17" i="13"/>
  <c r="B28" i="13"/>
  <c r="B30" i="13"/>
  <c r="C12" i="13"/>
  <c r="C11" i="13"/>
  <c r="C13" i="13"/>
  <c r="C17" i="13"/>
  <c r="D21" i="13"/>
  <c r="B22" i="13"/>
  <c r="C25" i="46"/>
  <c r="C29" i="46"/>
  <c r="D23" i="46"/>
  <c r="D24" i="46"/>
  <c r="D25" i="46"/>
  <c r="D29" i="46"/>
  <c r="E23" i="46"/>
  <c r="E24" i="46"/>
  <c r="E25" i="46"/>
  <c r="E29" i="46"/>
  <c r="C44" i="47"/>
  <c r="C48" i="47"/>
  <c r="D42" i="47"/>
  <c r="D43" i="47"/>
  <c r="D44" i="47"/>
  <c r="D48" i="47"/>
  <c r="D57" i="47"/>
  <c r="D58" i="47"/>
  <c r="E42" i="47"/>
  <c r="E43" i="47"/>
  <c r="E44" i="47"/>
  <c r="E48" i="47"/>
  <c r="B62" i="47"/>
  <c r="B57" i="47"/>
  <c r="D53" i="47"/>
  <c r="B33" i="47"/>
  <c r="E27" i="47"/>
  <c r="E26" i="47"/>
  <c r="E28" i="47"/>
  <c r="D28" i="47"/>
  <c r="B28" i="47"/>
  <c r="B16" i="25"/>
  <c r="C9" i="25"/>
  <c r="C13" i="25"/>
  <c r="E22" i="23"/>
  <c r="C22" i="23"/>
  <c r="E21" i="23"/>
  <c r="C21" i="23"/>
  <c r="E20" i="23"/>
  <c r="C20" i="23"/>
  <c r="E19" i="23"/>
  <c r="C19" i="23"/>
  <c r="E18" i="23"/>
  <c r="C18" i="23"/>
  <c r="E17" i="23"/>
  <c r="C17" i="23"/>
  <c r="E16" i="23"/>
  <c r="C16" i="23"/>
  <c r="E15" i="23"/>
  <c r="C15" i="23"/>
  <c r="E14" i="23"/>
  <c r="C14" i="23"/>
  <c r="E13" i="23"/>
  <c r="C13" i="23"/>
  <c r="B3" i="23"/>
  <c r="C2" i="23"/>
  <c r="D2" i="23"/>
  <c r="D12" i="45"/>
  <c r="D11" i="45"/>
  <c r="D10" i="45"/>
  <c r="D14" i="45"/>
  <c r="D9" i="45"/>
  <c r="D15" i="45"/>
  <c r="E15" i="28"/>
  <c r="E17" i="28"/>
  <c r="E19" i="28"/>
  <c r="E20" i="28"/>
  <c r="C14" i="28"/>
  <c r="A22" i="36"/>
  <c r="B22" i="36"/>
  <c r="C22" i="36"/>
  <c r="A21" i="36"/>
  <c r="B21" i="36"/>
  <c r="C21" i="36"/>
  <c r="A20" i="36"/>
  <c r="B20" i="36"/>
  <c r="C20" i="36"/>
  <c r="A19" i="36"/>
  <c r="B19" i="36"/>
  <c r="F19" i="36"/>
  <c r="D19" i="36"/>
  <c r="C19" i="36"/>
  <c r="E19" i="36"/>
  <c r="A18" i="36"/>
  <c r="B18" i="36"/>
  <c r="F18" i="36"/>
  <c r="D18" i="36"/>
  <c r="C18" i="36"/>
  <c r="E18" i="36"/>
  <c r="A17" i="36"/>
  <c r="B17" i="36"/>
  <c r="F17" i="36"/>
  <c r="D17" i="36"/>
  <c r="C17" i="36"/>
  <c r="E17" i="36"/>
  <c r="A16" i="36"/>
  <c r="B16" i="36"/>
  <c r="F16" i="36"/>
  <c r="D16" i="36"/>
  <c r="C16" i="36"/>
  <c r="E16" i="36"/>
  <c r="A15" i="36"/>
  <c r="B15" i="36"/>
  <c r="F15" i="36"/>
  <c r="D15" i="36"/>
  <c r="C15" i="36"/>
  <c r="E15" i="36"/>
  <c r="A14" i="36"/>
  <c r="B14" i="36"/>
  <c r="F14" i="36"/>
  <c r="D14" i="36"/>
  <c r="C14" i="36"/>
  <c r="E14" i="36"/>
  <c r="A13" i="36"/>
  <c r="B13" i="36"/>
  <c r="F13" i="36"/>
  <c r="D13" i="36"/>
  <c r="C13" i="36"/>
  <c r="E13" i="36"/>
  <c r="B12" i="36"/>
  <c r="D12" i="36"/>
  <c r="C12" i="36"/>
  <c r="E12" i="36"/>
  <c r="F12" i="36"/>
  <c r="B10" i="36"/>
  <c r="D15" i="53"/>
  <c r="E15" i="53"/>
  <c r="F15" i="53"/>
  <c r="G15" i="53"/>
  <c r="C15" i="53"/>
  <c r="C16" i="53"/>
  <c r="H16" i="53"/>
  <c r="H12" i="53"/>
  <c r="D14" i="53"/>
  <c r="E14" i="53"/>
  <c r="F14" i="53"/>
  <c r="G14" i="53"/>
  <c r="C14" i="53"/>
  <c r="H14" i="53"/>
  <c r="H11" i="53"/>
  <c r="D13" i="53"/>
  <c r="E13" i="53"/>
  <c r="F13" i="53"/>
  <c r="G13" i="53"/>
  <c r="C13" i="53"/>
  <c r="D16" i="53"/>
  <c r="E16" i="53"/>
  <c r="F16" i="53"/>
  <c r="G16" i="53"/>
  <c r="B16" i="53"/>
  <c r="H15" i="53"/>
  <c r="H13" i="53"/>
  <c r="B18" i="37"/>
  <c r="B17" i="37"/>
  <c r="B16" i="37"/>
  <c r="B15" i="37"/>
  <c r="B14" i="37"/>
  <c r="B13" i="37"/>
  <c r="A12" i="37"/>
  <c r="D25" i="13"/>
  <c r="D22" i="13"/>
  <c r="B4" i="23"/>
  <c r="C3" i="23"/>
  <c r="C6" i="25"/>
  <c r="C8" i="25"/>
  <c r="C10" i="25"/>
  <c r="C12" i="25"/>
  <c r="C14" i="25"/>
  <c r="D62" i="47"/>
  <c r="D63" i="47"/>
  <c r="B51" i="47"/>
  <c r="D34" i="46"/>
  <c r="B33" i="46"/>
  <c r="B35" i="46"/>
  <c r="B38" i="46"/>
  <c r="E8" i="30"/>
  <c r="G4" i="30"/>
  <c r="D20" i="36"/>
  <c r="E20" i="36"/>
  <c r="F20" i="36"/>
  <c r="D21" i="36"/>
  <c r="E21" i="36"/>
  <c r="F21" i="36"/>
  <c r="D22" i="36"/>
  <c r="E22" i="36"/>
  <c r="F22" i="36"/>
  <c r="E21" i="28"/>
  <c r="E2" i="23"/>
  <c r="C15" i="25"/>
  <c r="C11" i="25"/>
  <c r="C7" i="25"/>
  <c r="C14" i="33"/>
  <c r="E14" i="33"/>
  <c r="C19" i="38"/>
  <c r="C20" i="38"/>
  <c r="D13" i="38"/>
  <c r="D16" i="38"/>
  <c r="B24" i="38"/>
  <c r="C23" i="38"/>
  <c r="D35" i="49"/>
  <c r="D36" i="49"/>
  <c r="D31" i="49"/>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E4" i="27"/>
  <c r="D8" i="30"/>
  <c r="D19" i="49"/>
  <c r="C25" i="49"/>
  <c r="D25" i="49"/>
  <c r="D27" i="49"/>
  <c r="F15" i="51"/>
  <c r="G10" i="35"/>
  <c r="E12" i="35"/>
  <c r="F10" i="35"/>
  <c r="G9" i="41"/>
  <c r="C17" i="40"/>
  <c r="C19" i="40"/>
  <c r="D44" i="49"/>
  <c r="D50" i="49"/>
  <c r="C54" i="49"/>
  <c r="C55" i="49"/>
  <c r="B21" i="31"/>
  <c r="D21" i="31"/>
  <c r="E21" i="31"/>
  <c r="D10" i="35"/>
  <c r="C15" i="51"/>
  <c r="A12" i="31"/>
  <c r="A13" i="31"/>
  <c r="A14" i="31"/>
  <c r="A15" i="31"/>
  <c r="A16" i="31"/>
  <c r="A17" i="31"/>
  <c r="A18" i="31"/>
  <c r="A19" i="31"/>
  <c r="A20" i="31"/>
  <c r="C10" i="35"/>
  <c r="B12" i="35"/>
  <c r="C18" i="40"/>
  <c r="B19" i="31"/>
  <c r="F19" i="31"/>
  <c r="D19" i="31"/>
  <c r="E19" i="31"/>
  <c r="B15" i="31"/>
  <c r="F15" i="31"/>
  <c r="D15" i="31"/>
  <c r="E15" i="31"/>
  <c r="G12" i="35"/>
  <c r="E14" i="35"/>
  <c r="F12" i="35"/>
  <c r="C16" i="28"/>
  <c r="C17" i="28"/>
  <c r="C15" i="28"/>
  <c r="G8" i="30"/>
  <c r="I4" i="30"/>
  <c r="I8" i="30"/>
  <c r="B40" i="46"/>
  <c r="B43" i="46"/>
  <c r="B45" i="46"/>
  <c r="B53" i="47"/>
  <c r="B56" i="47"/>
  <c r="C16" i="25"/>
  <c r="B5" i="23"/>
  <c r="C4" i="23"/>
  <c r="B17" i="31"/>
  <c r="D17" i="31"/>
  <c r="E17" i="31"/>
  <c r="B13" i="31"/>
  <c r="D13" i="31"/>
  <c r="E13" i="31"/>
  <c r="D12" i="35"/>
  <c r="B14" i="35"/>
  <c r="C12" i="35"/>
  <c r="B20" i="31"/>
  <c r="F20" i="31"/>
  <c r="D20" i="31"/>
  <c r="E20" i="31"/>
  <c r="B18" i="31"/>
  <c r="F18" i="31"/>
  <c r="D18" i="31"/>
  <c r="E18" i="31"/>
  <c r="B16" i="31"/>
  <c r="F16" i="31"/>
  <c r="D16" i="31"/>
  <c r="E16" i="31"/>
  <c r="B14" i="31"/>
  <c r="F14" i="31"/>
  <c r="D14" i="31"/>
  <c r="E14" i="31"/>
  <c r="B12" i="31"/>
  <c r="F12" i="31"/>
  <c r="D12" i="31"/>
  <c r="E12" i="31"/>
  <c r="F21" i="31"/>
  <c r="C21" i="40"/>
  <c r="C24" i="38"/>
  <c r="D23" i="38"/>
  <c r="D19" i="38"/>
  <c r="D20" i="38"/>
  <c r="E13" i="38"/>
  <c r="E16" i="38"/>
  <c r="B15" i="33"/>
  <c r="C15" i="33"/>
  <c r="E15" i="33"/>
  <c r="D39" i="46"/>
  <c r="D35" i="46"/>
  <c r="E3" i="23"/>
  <c r="D3" i="23"/>
  <c r="D29" i="13"/>
  <c r="D30" i="13"/>
  <c r="D26" i="13"/>
  <c r="E16" i="33"/>
  <c r="B16" i="33"/>
  <c r="C16" i="33"/>
  <c r="D44" i="46"/>
  <c r="D45" i="46"/>
  <c r="D40" i="46"/>
  <c r="F13" i="31"/>
  <c r="F17" i="31"/>
  <c r="B6" i="23"/>
  <c r="C5" i="23"/>
  <c r="B61" i="47"/>
  <c r="B63" i="47"/>
  <c r="B58" i="47"/>
  <c r="G14" i="35"/>
  <c r="F14" i="35"/>
  <c r="E19" i="38"/>
  <c r="E20" i="38"/>
  <c r="F13" i="38"/>
  <c r="F16" i="38"/>
  <c r="D24" i="38"/>
  <c r="E23" i="38"/>
  <c r="D14" i="35"/>
  <c r="C14" i="35"/>
  <c r="D4" i="23"/>
  <c r="E4" i="23"/>
  <c r="E24" i="38"/>
  <c r="F23" i="38"/>
  <c r="F19" i="38"/>
  <c r="F20" i="38"/>
  <c r="G13" i="38"/>
  <c r="G16" i="38"/>
  <c r="G19" i="38"/>
  <c r="E5" i="23"/>
  <c r="D5" i="23"/>
  <c r="B7" i="23"/>
  <c r="C6" i="23"/>
  <c r="E17" i="33"/>
  <c r="B17" i="33"/>
  <c r="C17" i="33"/>
  <c r="D6" i="23"/>
  <c r="E6" i="23"/>
  <c r="G20" i="38"/>
  <c r="H20" i="38"/>
  <c r="H19" i="38"/>
  <c r="F24" i="38"/>
  <c r="G23" i="38"/>
  <c r="E18" i="33"/>
  <c r="B18" i="33"/>
  <c r="C18" i="33"/>
  <c r="B8" i="23"/>
  <c r="C7" i="23"/>
  <c r="E19" i="33"/>
  <c r="B19" i="33"/>
  <c r="C19" i="33"/>
  <c r="E7" i="23"/>
  <c r="D7" i="23"/>
  <c r="H23" i="38"/>
  <c r="H24" i="38"/>
  <c r="G24" i="38"/>
  <c r="B9" i="23"/>
  <c r="C8" i="23"/>
  <c r="B10" i="23"/>
  <c r="C9" i="23"/>
  <c r="D8" i="23"/>
  <c r="E8" i="23"/>
  <c r="E20" i="33"/>
  <c r="B20" i="33"/>
  <c r="C20" i="33"/>
  <c r="E21" i="33"/>
  <c r="B21" i="33"/>
  <c r="C21" i="33"/>
  <c r="E9" i="23"/>
  <c r="D9" i="23"/>
  <c r="B11" i="23"/>
  <c r="C11" i="23"/>
  <c r="C10" i="23"/>
  <c r="E11" i="23"/>
  <c r="D11" i="23"/>
  <c r="D10" i="23"/>
  <c r="E10" i="23"/>
  <c r="E22" i="33"/>
  <c r="B22" i="33"/>
  <c r="C22" i="33"/>
  <c r="E23" i="33"/>
  <c r="B23" i="33"/>
  <c r="C23" i="33"/>
  <c r="E24" i="33"/>
  <c r="B24" i="33"/>
  <c r="C24" i="33"/>
  <c r="E25" i="33"/>
  <c r="B25" i="33"/>
  <c r="C25" i="33"/>
  <c r="E26" i="33"/>
  <c r="B26" i="33"/>
  <c r="C26" i="33"/>
  <c r="E27" i="33"/>
  <c r="B27" i="33"/>
  <c r="C27" i="33"/>
  <c r="E28" i="33"/>
  <c r="B28" i="33"/>
  <c r="C28" i="33"/>
  <c r="E29" i="33"/>
  <c r="B29" i="33"/>
  <c r="C29" i="33"/>
  <c r="E30" i="33"/>
  <c r="B30" i="33"/>
  <c r="C30" i="33"/>
  <c r="E31" i="33"/>
  <c r="B31" i="33"/>
  <c r="C31" i="33"/>
  <c r="E32" i="33"/>
  <c r="B32" i="33"/>
  <c r="C32" i="33"/>
  <c r="B33" i="33"/>
  <c r="C33" i="33"/>
  <c r="E33" i="33"/>
  <c r="E34" i="33"/>
  <c r="B34" i="33"/>
  <c r="C34" i="33"/>
  <c r="E35" i="33"/>
  <c r="B35" i="33"/>
  <c r="C35" i="33"/>
  <c r="E36" i="33"/>
  <c r="B36" i="33"/>
  <c r="C36" i="33"/>
  <c r="E37" i="33"/>
  <c r="B37" i="33"/>
  <c r="C37" i="33"/>
  <c r="E38" i="33"/>
  <c r="B38" i="33"/>
  <c r="C38" i="33"/>
  <c r="E39" i="33"/>
  <c r="B39" i="33"/>
  <c r="C39" i="33"/>
  <c r="E40" i="33"/>
  <c r="B40" i="33"/>
  <c r="C40" i="33"/>
  <c r="E41" i="33"/>
  <c r="B41" i="33"/>
  <c r="C41" i="33"/>
  <c r="E42" i="33"/>
  <c r="B42" i="33"/>
  <c r="C42" i="33"/>
  <c r="E43" i="33"/>
  <c r="B43" i="33"/>
  <c r="C43" i="33"/>
</calcChain>
</file>

<file path=xl/comments1.xml><?xml version="1.0" encoding="utf-8"?>
<comments xmlns="http://schemas.openxmlformats.org/spreadsheetml/2006/main">
  <authors>
    <author>dcd1</author>
  </authors>
  <commentList>
    <comment ref="A3" authorId="0">
      <text>
        <r>
          <rPr>
            <u/>
            <sz val="8"/>
            <color indexed="81"/>
            <rFont val="Tahoma"/>
            <family val="2"/>
          </rPr>
          <t>ΑΠΟΤΕΛΕΣΜΑΤΑ ΧΡΗΣΗΣ</t>
        </r>
        <r>
          <rPr>
            <sz val="8"/>
            <color indexed="81"/>
            <rFont val="Tahoma"/>
            <charset val="161"/>
          </rPr>
          <t xml:space="preserve">
ΠΩΛΗΣΕΙΣ
- ΚΟΣΤΟΣ ΠΩΛ/ΝΤΩΝ
=ΜΙΚΤΟ ΚΕΡΔΟΣ
- ΕΞΟΔΑ
=ΚΑΘΑΡΟ ΚΕΡΔΟΣ
</t>
        </r>
      </text>
    </comment>
    <comment ref="A6" authorId="0">
      <text>
        <r>
          <rPr>
            <u/>
            <sz val="8"/>
            <color indexed="81"/>
            <rFont val="Tahoma"/>
            <family val="2"/>
          </rPr>
          <t>ΕΝΕΡΓΗΤΙΚΟ</t>
        </r>
        <r>
          <rPr>
            <sz val="8"/>
            <color indexed="81"/>
            <rFont val="Tahoma"/>
            <charset val="161"/>
          </rPr>
          <t xml:space="preserve">
ΠΑΓΙΑ
ΑΠΟΘΕΜΑΤΑ
ΠΕΛΑΤΕΣ
ΤΑΜΕΙΟ
</t>
        </r>
        <r>
          <rPr>
            <u/>
            <sz val="8"/>
            <color indexed="81"/>
            <rFont val="Tahoma"/>
            <family val="2"/>
          </rPr>
          <t>ΠΑΘΗΤΙΚΟ</t>
        </r>
        <r>
          <rPr>
            <sz val="8"/>
            <color indexed="81"/>
            <rFont val="Tahoma"/>
            <charset val="161"/>
          </rPr>
          <t xml:space="preserve">
ΙΔΙΟ ΚΕΦΑΛΑΙΟ
ΚΕΡΔΗ ΕΙΣ ΝΕΟΝ
ΔΑΝΕΙΑ
ΠΡΟΜΗΘΕΥΤΕΣ</t>
        </r>
      </text>
    </comment>
    <comment ref="A9" authorId="0">
      <text>
        <r>
          <rPr>
            <sz val="8"/>
            <color indexed="81"/>
            <rFont val="Tahoma"/>
            <charset val="161"/>
          </rPr>
          <t>Π.χ.Στις 1/1/2002 ανοίγουμε ένα βιβλιοπωλείο και αγοράζουμε 10 τετράδια αντί 10 Ε και στις 20/1/2002 αγοράζουμε 10 τετράδια αντί 20 Ε. Στίς 31/1/2002 πουλάμε 15 τετράδια αντί 30 Ε.Ποιό θα είναι το τελικό απόθεμά μας;
Θα πρέπει να έχουμε 5 τετράδια,που πρέπει και να συμφωνούμε με την απογραφή στις 31/1/2002.</t>
        </r>
      </text>
    </comment>
    <comment ref="A12" authorId="0">
      <text>
        <r>
          <rPr>
            <sz val="8"/>
            <color indexed="81"/>
            <rFont val="Tahoma"/>
            <charset val="161"/>
          </rPr>
          <t xml:space="preserve">Χρησιμοποιείται στην συμφωνία του ταμείου μιας επιχείρησης αλλά και ατομικά για κάθε φυσικό πρόσωπο ή το ταμείο ενός Σ/Μ. Επίσης βάσει αυτής της ισότητας κάνουμε τον πίνακα ταμιακής ροής μιας επιχείρησης.
</t>
        </r>
      </text>
    </comment>
    <comment ref="A16" authorId="0">
      <text>
        <r>
          <rPr>
            <sz val="8"/>
            <color indexed="81"/>
            <rFont val="Tahoma"/>
            <charset val="161"/>
          </rPr>
          <t xml:space="preserve">Π.χ.Στις 1/1/2002 αγοράζουμε 10 τετράδια αντί 10 Ε και στις 20/1/2002 αγοράζουμε 10 τετράδια αντί 20 Ε. Στίς 31/1/2002 πουλάμε 15 τετράδια αντί 30 Ε.Ποιό θα είναι το κέρδος μας;
                     </t>
        </r>
        <r>
          <rPr>
            <u/>
            <sz val="8"/>
            <color indexed="81"/>
            <rFont val="Tahoma"/>
            <family val="2"/>
          </rPr>
          <t>ΜΕΣΟΣ ΟΡΟΣ</t>
        </r>
        <r>
          <rPr>
            <sz val="8"/>
            <color indexed="81"/>
            <rFont val="Tahoma"/>
            <charset val="161"/>
          </rPr>
          <t xml:space="preserve">           </t>
        </r>
        <r>
          <rPr>
            <u/>
            <sz val="8"/>
            <color indexed="81"/>
            <rFont val="Tahoma"/>
            <family val="2"/>
          </rPr>
          <t>LIFO</t>
        </r>
        <r>
          <rPr>
            <sz val="8"/>
            <color indexed="81"/>
            <rFont val="Tahoma"/>
            <charset val="161"/>
          </rPr>
          <t xml:space="preserve">         </t>
        </r>
        <r>
          <rPr>
            <u/>
            <sz val="8"/>
            <color indexed="81"/>
            <rFont val="Tahoma"/>
            <family val="2"/>
          </rPr>
          <t xml:space="preserve"> FIFO</t>
        </r>
        <r>
          <rPr>
            <sz val="8"/>
            <color indexed="81"/>
            <rFont val="Tahoma"/>
            <charset val="161"/>
          </rPr>
          <t xml:space="preserve">
ΑΓΟΡΕΣ        10Χ1=10
ΑΓΟΡΕΣ        10Χ2=20
ΣΥΝΟΛΟ       30/20=1.5
ΠΩΛΗΣΕΙΣ    15Χ2=30
ΑΠΟΘΕΜΑ    5Χ1.5=7.5              5χ1=5         5χ2=10
Αρα κόστος   30-7.5=22.5         30-5=25      30-10=20
Αρα κέρδος    7.5                             5                 10  </t>
        </r>
      </text>
    </comment>
  </commentList>
</comments>
</file>

<file path=xl/comments2.xml><?xml version="1.0" encoding="utf-8"?>
<comments xmlns="http://schemas.openxmlformats.org/spreadsheetml/2006/main">
  <authors>
    <author>dcd1</author>
  </authors>
  <commentList>
    <comment ref="C13" authorId="0">
      <text>
        <r>
          <rPr>
            <b/>
            <sz val="8"/>
            <color indexed="81"/>
            <rFont val="Tahoma"/>
            <charset val="161"/>
          </rPr>
          <t xml:space="preserve">Χρεωλύσιο.
Είναι το μέρος του τοκοχρεωλυσίου που μειώνει το οφειλόμενο δάνειο.
</t>
        </r>
        <r>
          <rPr>
            <sz val="8"/>
            <color indexed="81"/>
            <rFont val="Tahoma"/>
            <charset val="161"/>
          </rPr>
          <t xml:space="preserve">
</t>
        </r>
      </text>
    </comment>
    <comment ref="D13" authorId="0">
      <text>
        <r>
          <rPr>
            <sz val="8"/>
            <color indexed="81"/>
            <rFont val="Tahoma"/>
            <charset val="161"/>
          </rPr>
          <t xml:space="preserve">Τοκοχρεωλύσιο.
Είναι σε κάθε περίοδο σταθερό. Με ένα μέρος του πληρώνουμε τόκους και με το υπόλοιπο αποσβένουμε μέρος του δανείου.
</t>
        </r>
      </text>
    </comment>
  </commentList>
</comments>
</file>

<file path=xl/comments3.xml><?xml version="1.0" encoding="utf-8"?>
<comments xmlns="http://schemas.openxmlformats.org/spreadsheetml/2006/main">
  <authors>
    <author>dcd1</author>
  </authors>
  <commentList>
    <comment ref="D1" authorId="0">
      <text>
        <r>
          <rPr>
            <b/>
            <sz val="8"/>
            <color indexed="81"/>
            <rFont val="Tahoma"/>
            <charset val="161"/>
          </rPr>
          <t xml:space="preserve">Πρώτα βρίσκουμε τις πωλήσεις. Μετά ταξινουμούμε την βάση δεδομένων κατα φθίνουσα τάξη ως προς τις πωλήσεις. Κατόπιν βρίσκουμε το πλήθος των εγγραφών και το πολλαπλασιάζουμε με το ζητούμενο ποσοστό. Απο το αποτέλεσμα εντοπίζουμε το σύνολο των ορισμένων πωλήσεων, το οποίο διαιρούμενο με το σύνολο όλων των πωλήσεων μας δίδει το αποτέλεσμα(result).
</t>
        </r>
        <r>
          <rPr>
            <sz val="8"/>
            <color indexed="81"/>
            <rFont val="Tahoma"/>
            <charset val="161"/>
          </rPr>
          <t xml:space="preserve">
</t>
        </r>
      </text>
    </comment>
  </commentList>
</comments>
</file>

<file path=xl/sharedStrings.xml><?xml version="1.0" encoding="utf-8"?>
<sst xmlns="http://schemas.openxmlformats.org/spreadsheetml/2006/main" count="805" uniqueCount="531">
  <si>
    <t xml:space="preserve">                                                                                                                                                                                    </t>
  </si>
  <si>
    <t>Μικτό κέρδος/Πωλήσεις</t>
  </si>
  <si>
    <t>Καθαρά κέρδη χρήσης/Πωλήσεις</t>
  </si>
  <si>
    <t>Δείκτες αποδοτικότητας</t>
  </si>
  <si>
    <t xml:space="preserve">Καθαρά κέρδη/Ενεργητικό  </t>
  </si>
  <si>
    <t>Καθαρά κέρδη χρήσης/Ίδια κεφάλαια</t>
  </si>
  <si>
    <t xml:space="preserve">ΠΩΛΗΣΕΙΣ                            </t>
  </si>
  <si>
    <r>
      <t xml:space="preserve">ΜΙΚΤΟ ΚΕΡΔΟΣ                   </t>
    </r>
    <r>
      <rPr>
        <sz val="10"/>
        <rFont val="Arial Greek"/>
        <charset val="161"/>
      </rPr>
      <t/>
    </r>
  </si>
  <si>
    <t xml:space="preserve">ΤΟΚΟΙ                                      </t>
  </si>
  <si>
    <t xml:space="preserve">ΚΕΡΔΗ ΠΡΟ ΦΟΡΩΝ           </t>
  </si>
  <si>
    <t xml:space="preserve">ΦΟΡΟΙ (40%)                          </t>
  </si>
  <si>
    <t xml:space="preserve">ΚΕΡΔΗ ΠΡΟΣ ΔΙΑΘΕΣΗ        </t>
  </si>
  <si>
    <t xml:space="preserve">ΠΑΓΙΑ                                  </t>
  </si>
  <si>
    <t xml:space="preserve">ΠΕΛΑΤΕΣ                            </t>
  </si>
  <si>
    <t xml:space="preserve">ΕΜΠΟΡΕΥΜΑΤΑ                </t>
  </si>
  <si>
    <t xml:space="preserve">ΤΑΜΕΙΟ                                 </t>
  </si>
  <si>
    <t xml:space="preserve">ΜΑΚΡΟ ΥΠ/ΣΕΙΣ                 </t>
  </si>
  <si>
    <t xml:space="preserve">ΒΡΑΧΥ ΥΠ/ΣΕΙΣ                </t>
  </si>
  <si>
    <t>5. ΧΡΗΜΑΤΟΔΟΤΗΣΗ</t>
  </si>
  <si>
    <t>ΚΑΘΕΤΗ ΑΝΑΛΥΣΗ ΑΠΟΤΕΛΕΣΜΑΤΩΝ=(Τι-Το)/Το</t>
  </si>
  <si>
    <t>ΠΟΣΟΤΗΤΑ = (ΠΑΓΙΑ +Κ'/(1-Τ)) / (ΤΠ-ΤΑ) ΌΠΟΥ Τ= Φορολογικός Συντελεστής</t>
  </si>
  <si>
    <t>i = επιτόκιο , n  = περίοδοι</t>
  </si>
  <si>
    <t>MA = Μέλουσα Αξία, ΠΑ = Παρούσα Αξία</t>
  </si>
  <si>
    <t>Αρα η κερδοφορία(ΑΕΚ) μεγαλώνει είτε α.αυξάνοντας τα κέρδη είτε β.μειώνοντας το Ενεργητικό.</t>
  </si>
  <si>
    <t>1.ΛΟΓΙΣΤΙΚΗ</t>
  </si>
  <si>
    <t>2.ΜΑΡΚΕΤΙΝΓΚ</t>
  </si>
  <si>
    <t>ΑΕΚ = ΚΕΡΔΗ/ΕΠΕΝΔΥΘΕΝ ΚΕΦΑΛΑΙΟ=ΚΕΡΔΗ/ΕΝΕΡΓΗΤΙΚΟ=(ΚΕΡΔΗ/ΠΩΛΗΣΕΙΣ)*(ΠΩΛΗΣΕΙΣ/ΕΝΕΡΓΗΤΙΚΟ)</t>
  </si>
  <si>
    <t>Α) ΕΣΟΔΑ - ΕΞΟΔΑ = ΚΕΡΔΟΣ</t>
  </si>
  <si>
    <t>Β) ΕΝΕΡΓΗΤΙΚΟ(Ε) = ΠΑΘΗΤΙΚΟ(Π) + ΚΑΘΑΡΑ ΠΕΡΙΟΥΣΙΑ(ΚΠ)</t>
  </si>
  <si>
    <t>Β) ΣΕ ΔΡΑΧΜΕΣ=ΠΑΓΙΑ / % ΜΙΚΤΟΥ ΚΕΡΔΟΥΣ (ή Περιθώριο Συνεισφοράς) = ΠΑΓΙΑ / (1-ΤΑ/ΤΠ)</t>
  </si>
  <si>
    <t>Γ) Αν θέλουμε να πραγματοποιήουμε ορισμένο ποσό κέρδους = (ΠΑΓΙΑ + ΚΕΡΔΟΣ) / (ΤΠ-ΤΑ)</t>
  </si>
  <si>
    <t>Δ) Αν έχουμε φόρους και θέλουμε ένα ορισμένο ποσό κέρδους μετα τους φόρους(Κ') θα έχουμε :</t>
  </si>
  <si>
    <t>ΑΠΟΤΕΛΕΣΜΑΤΑ ΧΡΗΣΗΣ 1997</t>
  </si>
  <si>
    <t>ΕΝΕΡΓΗΤΙΚΟ          ΙΣΟΛΟΓΙΣΜΟΣ 1997              ΠΑΘΗΤΙΚΟ</t>
  </si>
  <si>
    <t>ΠΙΝΑΚΕΣ ΕΞΟΔΩΝ</t>
  </si>
  <si>
    <t>Ζητείται:</t>
  </si>
  <si>
    <t>1) Αποτελέσματα χρήσης και ισολογισμός για τα τρία αυτά έτη .</t>
  </si>
  <si>
    <t>ΚΑΘΑΡΑ ΚΕΡΔΗ</t>
  </si>
  <si>
    <t xml:space="preserve">-ΕΞΟΔΑ (ΕΝΟΙΚΙΑ)                             </t>
  </si>
  <si>
    <t xml:space="preserve">-ΜΙΣΘΟΙ &amp; ΙΚΑ                                 </t>
  </si>
  <si>
    <t xml:space="preserve">-ΑΠΟΣΒΕΣΕΙΣ                                    </t>
  </si>
  <si>
    <t xml:space="preserve">ΤΑΜΕΙΟ             </t>
  </si>
  <si>
    <t xml:space="preserve">Ι.Κ.                        </t>
  </si>
  <si>
    <t>ΚΑΘΑΡΑ ΠΑΓΙΑ</t>
  </si>
  <si>
    <t>ΚΕΡΔΗ ΕΙΣ ΝΕΟ</t>
  </si>
  <si>
    <t>ΣΥΝΟΛΟ</t>
  </si>
  <si>
    <t>ΕΦΑΡΜΟΓΗ ΣΤΗΝ ΕΝΟΤΗΤΑ : ΛΟΓΙΣΤΙΚΗ</t>
  </si>
  <si>
    <r>
      <t xml:space="preserve">Η </t>
    </r>
    <r>
      <rPr>
        <b/>
        <sz val="10"/>
        <rFont val="Arial"/>
        <family val="2"/>
      </rPr>
      <t xml:space="preserve"> Singuular Α.Ε</t>
    </r>
    <r>
      <rPr>
        <sz val="10"/>
        <rFont val="Arial"/>
        <family val="2"/>
      </rPr>
      <t>. εμπορεύεται P.C.</t>
    </r>
    <r>
      <rPr>
        <b/>
        <sz val="10"/>
        <rFont val="Arial"/>
        <family val="2"/>
      </rPr>
      <t xml:space="preserve"> </t>
    </r>
    <r>
      <rPr>
        <sz val="10"/>
        <rFont val="Arial"/>
        <family val="2"/>
      </rPr>
      <t xml:space="preserve">και υπολογίζει να πουλήσει το 1997,  200 τεμάχια, το 1998 250 τεμάχια και το 1999  300 τεμάχια. Η τιμή πώλησης το 1997 είναι 300.000 δραχμές και η τιμή αγοράς 100.000 δραχμές. Η εταιρεία ιδρύθηκε την 1/1/97 με ίδιο κεφάλαιο 2.000.000 δρχ(μετρητά). </t>
    </r>
  </si>
  <si>
    <t>ΕΝΕΡΓΗΤΙΚΟ          ΙΣΟΛΟΓΙΣΜΟΣ 1998              ΠΑΘΗΤΙΚΟ</t>
  </si>
  <si>
    <t>ΕΝΕΡΓΗΤΙΚΟ          ΙΣΟΛΟΓΙΣΜΟΣ 1999              ΠΑΘΗΤΙΚΟ</t>
  </si>
  <si>
    <t>Ολες οι πληρωμές και οι εισπράξεις γίνονται μετρητοίς . Μηνιαίο ενοίκιο καταστήματος 80.000 .</t>
  </si>
  <si>
    <r>
      <t xml:space="preserve">1. ΕΝΟΙΚΙΑ: </t>
    </r>
    <r>
      <rPr>
        <b/>
        <sz val="10"/>
        <rFont val="Arial"/>
        <family val="2"/>
      </rPr>
      <t>80000 Χ 12 =960000</t>
    </r>
  </si>
  <si>
    <t>Γ) ΑΡΧΙΚΟ ΑΠΟΘΕΜΑ(ΑΑ) + ΑΓΟΡΕΣ(ΑΓ) - ΤΕΛΙΚΟ ΑΠΟΘΕΜΑ(ΤΑ) = ΚΟΣΤΟΣ ΠΩΛΗΘΕΝΤΩΝ(ΚΠ)</t>
  </si>
  <si>
    <t>Δ) ΑΡΧΙΚΟ ΑΠΟΘΕΜΑ ΤΑΜΕΙΟΥ + ΕΙΣΠΡΑΞΕΙΣ - ΠΛΗΡΩΜΕΣ = ΤΕΛΙΚΟ ΑΠΟΘΕΜΑ ΤΑΜΕΙΟΥ</t>
  </si>
  <si>
    <t>Ε) ΜΕΘΟΔΟΙ ΑΠΟΤΙΜΗΣΗΣ ΕΜΠΟΡΕΥΜΑΤΩΝ = ΜΕΣΟΣ ΟΡΟΣ - L.I.F.O. - F.I.F.O.</t>
  </si>
  <si>
    <t>Οταν Εσοδα - Εξοδα = 0 ----&gt; Εσ = Εξ  ---&gt; ΤΙΜΗ ΠΩΛΗΣΗΣ  Χ  ΠΟΣΟΤΗΤΑ = ΠΑΓΙΑ + ΜΕΤΑΒΛΗΤΑ ΕΞΟΔΑ---&gt;</t>
  </si>
  <si>
    <t>----&gt; ΤΠ Χ ΠΟΣ  =  ΠΑΓΙΑ + (ΠΟΣ Χ ΤΑ) ----&gt; ΠΟΣ(ΤΠ-ΤΑ) = ΠΑΓΙΑ-----&gt; ΠΟΣ = ΠΑΓΙΑ / (ΤΠ-ΤΑ)</t>
  </si>
  <si>
    <t>Α) ΣΕ ΤΕΜΑΧΙΑ =  ΠΑΓΙΑ / (ΤΠ-ΤΑ)</t>
  </si>
  <si>
    <t>Γεια σας.....</t>
  </si>
  <si>
    <t>Το βιβλίο (workbook) αυτό αποτελείται απο αρκετά φύλλα εργασίας (worksheets) που μαζί θα μελετήσουμε !!!</t>
  </si>
  <si>
    <r>
      <t xml:space="preserve">Σημείωση : </t>
    </r>
    <r>
      <rPr>
        <sz val="10"/>
        <color indexed="10"/>
        <rFont val="Arial"/>
        <family val="2"/>
      </rPr>
      <t xml:space="preserve">Η εταιρεία επανεπενδύει τα κέρδη και δεν υπάρχουν  φόροι. </t>
    </r>
  </si>
  <si>
    <t xml:space="preserve">= Μ.Κ.                                  </t>
  </si>
  <si>
    <t xml:space="preserve">- Κ.Π.              (200 Χ 100.000 )      </t>
  </si>
  <si>
    <t xml:space="preserve">ΠΩΛΗΣΕΙΣ      (200 Χ 300.000 )    </t>
  </si>
  <si>
    <t>ΓΝΩΡΙΜΙΑ ΜΕ ΤΟ ΠΕΡΙΒΑΛΟΝ ΤΟΥ EXCEL</t>
  </si>
  <si>
    <t>MENU</t>
  </si>
  <si>
    <t>ΚΕΛΙ</t>
  </si>
  <si>
    <t>ΕΙΣΑΓΩΓΗ</t>
  </si>
  <si>
    <t>ENTER</t>
  </si>
  <si>
    <t>ΑΠΟΘΗΚΕΥΣΗ</t>
  </si>
  <si>
    <t>ΑΡΧΕΙΟ - ΑΠΟΘΗΚΕΥΣΗ ΩΣ-...</t>
  </si>
  <si>
    <t>ΜΟΡΦΟΠΟΙΗΣΗ ΦΥΛΛΟΥ ΕΡΓΑΣΙΑΣ (ΜΟΡΦΗ ΚΕΛΙΩΝ)</t>
  </si>
  <si>
    <t>ΚΛΙΚ ΣΤΟ ΤΕΤΡΑΓΩΝΟ ΤΗΣ ΤΟΜΗΣ ΤΩΝ ΕΠΙΚΕΦΑΛΙΔΩΝ ΓΡΑΜΜΩΝ ΚΑΙ ΣΤΗΛΩΝ</t>
  </si>
  <si>
    <t>ΦΩΤΙΖΕΤΕ ΤΗΝ ΠΕΡΙΟΧΗ</t>
  </si>
  <si>
    <t>ΦΩΤΙΖΟΥΜΕ ΚΡΑΤΩΝΤΑΣ ΤΟ CTRL</t>
  </si>
  <si>
    <t>ΠΡΑΞΕΙΣ</t>
  </si>
  <si>
    <t>ΠΑΝΤΑ ΑΡΧΙΖΕΙΣ ΜΕ ΤΟ =</t>
  </si>
  <si>
    <t>ΣΧΕΤΙΚΕΣ ΚΑΙ ΑΠΟΛΥΤΕΣ ΤΙΜΕΣ($) ή F4</t>
  </si>
  <si>
    <t>ΕΚΤΥΠΩΣΗ</t>
  </si>
  <si>
    <t>ΠΡΟΕΠΙΣΚΟΠΗΣΗ ΕΚΤΥΠΩΣΗΣ</t>
  </si>
  <si>
    <t>ΜΕΤΟΝΟΜΑΣΙΑ-ΕΙΣΑΓΩΓΗ-ΔΙΑΓΡΑΦΗ ΦΥΛΛΩΝ</t>
  </si>
  <si>
    <t>ΜΕΤΑΚΙΝΗΣΗ ΦΥΛΛΩΝ</t>
  </si>
  <si>
    <t xml:space="preserve">ΣΥΝΔΕΣΗ ΚΕΛΙΩΝ ΣΤΟ ΙΔΙΟ ΦΥΛΛΟ </t>
  </si>
  <si>
    <t xml:space="preserve">ΣΥΝΔΕΣΗ ΚΕΛΙΩΝ ΣΕ ΔΙΑΦΟΡΕΤΙΚΑ ΦΥΛΛΑ </t>
  </si>
  <si>
    <t>ΕΝΑΡΞΗ ....</t>
  </si>
  <si>
    <t>ΠΡΟΓΡΑΜΜΑΤΑ.....</t>
  </si>
  <si>
    <t>MICROSOFT OFFICE......</t>
  </si>
  <si>
    <t>MICROSOFT EXCEL.......</t>
  </si>
  <si>
    <t>ΕΙΣΑΓΩΓΗ=</t>
  </si>
  <si>
    <t>ΔΙΑΓΡΑΦΗ=DEL(ETE)</t>
  </si>
  <si>
    <t>ΔΙΟΡΘΩΣΗ= F2</t>
  </si>
  <si>
    <t>ΓΙΑ ΟΛΟΚΛΗΡΟ ΤΟ ΦΥΛΛΟ------&gt;</t>
  </si>
  <si>
    <t>ΓΙΑ ΜΙΑ ΠΕΡΙΟΧΗ ---------------------&gt;</t>
  </si>
  <si>
    <t>ΓΙΑ ΔΙΑΣΠΑΡΤΕΣ ΠΕΡΙΟΧΕΣ-----&gt;</t>
  </si>
  <si>
    <t>Τιμή Αγοράς</t>
  </si>
  <si>
    <t>Τιμή Πώλησης</t>
  </si>
  <si>
    <t>Κέρδος</t>
  </si>
  <si>
    <t>Cost+ 
(%)</t>
  </si>
  <si>
    <t>Markup 
(%)</t>
  </si>
  <si>
    <t>ΜΑΡΚΕΤΙΝΓΚ</t>
  </si>
  <si>
    <t>Δίνονται οι ταξινομήσεις στα κουπέ , για το Α' τετράμηνο 2001.</t>
  </si>
  <si>
    <t>Να ευρεθεί το μερίδιο αγοράς της κάθε εταιρίας.</t>
  </si>
  <si>
    <t>ΕΤΑΙΡΙΑ</t>
  </si>
  <si>
    <t>ΤΕΜΑΧΙΑ</t>
  </si>
  <si>
    <t>ΜΕΡΙΔΙΟ</t>
  </si>
  <si>
    <t>RENAULT MEGANE</t>
  </si>
  <si>
    <t>HYUNDAI COUPE</t>
  </si>
  <si>
    <t>TOYOTA CELICA</t>
  </si>
  <si>
    <t>OPEL ASTRA COUPE</t>
  </si>
  <si>
    <t>FORD PUMA</t>
  </si>
  <si>
    <t>AUDI TT</t>
  </si>
  <si>
    <t>PORCHE 911</t>
  </si>
  <si>
    <t>FIAT COUPE</t>
  </si>
  <si>
    <t>ALFA ROMEO GTV</t>
  </si>
  <si>
    <t>FERRARI F131</t>
  </si>
  <si>
    <t>Παρακαλώ , μελετήστε το φύλλο PRICE1, και την ΑΣΚΗΣΗ του φύλλου MARKET-SHARE.</t>
  </si>
  <si>
    <t>ΠΑ = ΜΑ/(1+i)^n</t>
  </si>
  <si>
    <t>ΜΑ = ΠΑ*(1+i)^n</t>
  </si>
  <si>
    <t>Τι = τιμή στον χρόνο 1</t>
  </si>
  <si>
    <t>Το = τιμή στον χρόνο 0</t>
  </si>
  <si>
    <t>ΟΙΚΟΝΟΜΙΚΑ ΜΑΘΗΜΑΤΙΚΑ</t>
  </si>
  <si>
    <t>ΠΕΡΙΠΤΩΣΗ</t>
  </si>
  <si>
    <t>ΕΠΙΤΟΚΙΟ</t>
  </si>
  <si>
    <t>ΠΕΡΙΟΔΟΙ</t>
  </si>
  <si>
    <t>ΚΕΦΑΛΑΙΟ</t>
  </si>
  <si>
    <t>ΤΕΛΙΚΗ ΑΞΙΑ</t>
  </si>
  <si>
    <t>Χωρίς Συνάρτηση</t>
  </si>
  <si>
    <t>Ετήσιος ανατοκισμός</t>
  </si>
  <si>
    <t>Εξαμηνιαίος ανατοκισμός</t>
  </si>
  <si>
    <t>Διηνεκής ανατοκισμός</t>
  </si>
  <si>
    <t>ΠΑΡΟΥΣΑ ΑΞΙΑ</t>
  </si>
  <si>
    <t>Ετήσια προεξόφληση</t>
  </si>
  <si>
    <t>Τριμηνιαία προεξόφληση</t>
  </si>
  <si>
    <t>ΡΑΝΤΕΣ</t>
  </si>
  <si>
    <t>Παρ.αξία Ληξ/μης Ράντας(6μηνο)</t>
  </si>
  <si>
    <t>Παρ.αξία Ληξ/μης Ράντας(3μηνο)</t>
  </si>
  <si>
    <t>Τελ.αξία Ληξ/μης Ράντας(6μηνο)</t>
  </si>
  <si>
    <t>Τελ.αξία Ληξ/μης Ράντας(3μηνο)</t>
  </si>
  <si>
    <t>Παρ.αξία Πρ/τεας Ράντας(6μηνο)</t>
  </si>
  <si>
    <t>Παρ.αξία Πρ/τεας Ράντας(3μηνο)</t>
  </si>
  <si>
    <t>Τελ.αξία Πρ/τεας Ράντας(6μηνο)</t>
  </si>
  <si>
    <t>Τελ.αξία Πρ/τεας Ράντας(3μηνο)</t>
  </si>
  <si>
    <t>Παρ.αξία Πρ/τεας Ράντας(μηνιαία)</t>
  </si>
  <si>
    <t>Παρ.αξία Διηνεκούς Ληξ/μης Ράντας</t>
  </si>
  <si>
    <t>Μηνιαία Δόση Δανείου</t>
  </si>
  <si>
    <t>Κάθε φύλλο με αρχικό το Φ (π.χ. Φ1,Φ2......) περιέχει τις βασικές έννοιες-τύπους, και έπονται ασκήσεις πάνω στο θέμα.</t>
  </si>
  <si>
    <t>Δείκτης μικτού περιθωρίου κέρδους</t>
  </si>
  <si>
    <t>Δείκτης καθαρού περιθωρίου κέρδους</t>
  </si>
  <si>
    <t>Δείκτης αποδοτικότητας ιδίων κεφαλαίων</t>
  </si>
  <si>
    <t xml:space="preserve">ΙΔΙΟ ΚΕΦΑΛΑΙΟ               </t>
  </si>
  <si>
    <t>ΕΝΕΡΓΗΤΙΚΟ</t>
  </si>
  <si>
    <t>ΠΑΘΗΤΙΚΟ</t>
  </si>
  <si>
    <t>ΑΠΟΤΕΛΕΣΜΑΤΑ ΧΡΗΣΗΣ</t>
  </si>
  <si>
    <t>4.ΑΠΟΔΟΣΗ ΕΠΕΝΔΥΟΜΕΝΟΥ ΚΕΦΑΛΑΙΟΥ (ΑΕΚ)  - ΑΝΑΛΥΣΗ ΟΙΚΟΝΟΜΙΚΩΝ ΚΑΤΑΣΤΑΣΕΩΝ</t>
  </si>
  <si>
    <t xml:space="preserve">ΚΟΣΤΟΣ ΠΩΛ/ΝΤΩΝ                  </t>
  </si>
  <si>
    <t xml:space="preserve">ΛΕΙΤΟΥΡΓΙΚΑ ΕΞΟΔΑ                    </t>
  </si>
  <si>
    <t xml:space="preserve">ΛΕΙΤΟΥΡΓΙΚΑ ΚΕΡΔΗ                   </t>
  </si>
  <si>
    <t>α. Τα κέρδη έχουν δύο συστατικά που τα επηρεάζουν : 1.πωλήσεις 2. Κόστη  1.Οι πωλήσεις μπορούν να αυξηθούν είτε αυξάνοντας την ποσότητα είτε την τιμή.2. Τα κόστη μπορούν να μειωθούν δια μέσου μείωσης των συντελεστών κόστους, δηλαδή,άμεσα υλικά , άμεσα εργατικά και γενικά έξοδα.</t>
  </si>
  <si>
    <t>β. Το Ενεργητικό ή Κεφάλαιο είναι πάντα περιορισμένο, έτσι απαιτείται εντατικότερη χρήση αυτού. Ετσι  πρέπει να μειωθεί με ενέργειες όπως :μείωση περιόδου πίστωσης σε πελάτες, μείωση εμπορευμάτων και αποθηκευτικών χώρων, αγορά μηχανών με χρονομίσθωση (Leasing), μείωση χρόνου παραγγελίας-τιμολόγησης κ.λ.π. Π.χ. μία μείωση στα αποθέματα οδηγεί σε μικρότερο Ενεργητικό με συνέπεια μικρότερο Επενδυθέν Κεφάλαιο και άρα υψηλότερη κερδοφορία(Α.Ε.Κ.).</t>
  </si>
  <si>
    <t>ΚΑΝΕ ΚΛΙΚ ΣΤΟ ΦΥΛΛΟ "ΕΙΣΑΓΩΓΗ"</t>
  </si>
  <si>
    <t>Δείκτης αποδοτικότητας συνολικών κεφαλαίων (ΑΕΚ)</t>
  </si>
  <si>
    <t>ΛΟΓΙΣΤΙΚΗ</t>
  </si>
  <si>
    <t>ΠΕΡΙΓΡΑΦΗ ΠΑΓΙΟΥ</t>
  </si>
  <si>
    <t>ΤΙΜΗ ΑΓΟΡΑΣ</t>
  </si>
  <si>
    <t>ΗΜ/ΝΙΑ ΑΓΟΡΑΣ</t>
  </si>
  <si>
    <t>ΑΠΟΣΒΕΣΕΙΣ ΕΤΟΥΣ 2001</t>
  </si>
  <si>
    <t>ΑΝΑΠΟΣΒΕΣΤΟ ΥΠΟΛΟΙΠΟ 2001</t>
  </si>
  <si>
    <t>ΑΠΟΣΒΕΣΕΙΣ ΕΤΟΥΣ 2002</t>
  </si>
  <si>
    <t>ΑΝΑΠΟΣΒΕΣΤΟ ΥΠΟΛΟΙΠΟ 2002</t>
  </si>
  <si>
    <t>ΓΡΑΦΕΙΟ ΣΑΤΟ</t>
  </si>
  <si>
    <t>Η/Υ ΑΛΤΕΚ</t>
  </si>
  <si>
    <t>CITROEN ZX</t>
  </si>
  <si>
    <t>TOYOTA COROLLA</t>
  </si>
  <si>
    <t>ΚΑΤΗΓΟΡΙΑ ΠΑΓΙΟΥ</t>
  </si>
  <si>
    <t>ΣΥΝΤΕΛΕΣΤΗΣ</t>
  </si>
  <si>
    <t>ΓΗΠΕΔΑ</t>
  </si>
  <si>
    <t>ΜΗΧΑΝΕΣ ΓΡΑΦΕΙΟΥ</t>
  </si>
  <si>
    <t>ΟΙΚΟΔΟΜΕΣ - ΚΤΙΡΙΑ</t>
  </si>
  <si>
    <t>ΤΗΛΕΦΩΝΙΚΑ ΚΕΝΤΡΑ</t>
  </si>
  <si>
    <t>ΤΗΛΕΦΩΝΙΚΕΣ ΣΥΣΚΕΥΕΣ</t>
  </si>
  <si>
    <t>ΕΠΙΒΑΤΗΓΑ ΑΥΤΟΚΙΝΗΤΑ</t>
  </si>
  <si>
    <t>ΕΡΓΑΛΕΙΑ - ΜΗΧΑΝΗΜΑΤΑ</t>
  </si>
  <si>
    <t>ΨΥΓΕΙΑ - ΑΕΡΟΘΕΡΜΑ</t>
  </si>
  <si>
    <t>ΕΠΙΠΛΑ - ΣΚΕΥΗ - Η/Υ</t>
  </si>
  <si>
    <t>ΑΠΟΣΒΕΣΕΙΣ ΕΤΟΥΣ 2003</t>
  </si>
  <si>
    <t>ΑΝΑΠΟΣΒΕΣΤΟ ΥΠΟΛΟΙΠΟ 2003</t>
  </si>
  <si>
    <t>ΝΕΚΡΟ ΣΗΜΕΙΟ</t>
  </si>
  <si>
    <t>ΔΙΔΟΝΤΑΙ :</t>
  </si>
  <si>
    <t>ΠΑΓΙΑ =</t>
  </si>
  <si>
    <t>Τιμή  Αγοράς  =</t>
  </si>
  <si>
    <t>Τιμή  Πώλησης =</t>
  </si>
  <si>
    <t>Να ευρεθεί το Ν.Σ. και να κατασκευασθεί ο πίνακας</t>
  </si>
  <si>
    <t>Ν.Σ.( σε ΤΕΜΑΧΙΑ) =</t>
  </si>
  <si>
    <t>Ν.Σ.( σε ΕΥΡΩ)  =</t>
  </si>
  <si>
    <t>ΠΟΣΟΤΗΤΑ</t>
  </si>
  <si>
    <t>ΠΩΛΗΣΕΙΣ</t>
  </si>
  <si>
    <t>ΠΑΓΙΑ</t>
  </si>
  <si>
    <t>ΜΕΤΑΒΛΗΤΑ</t>
  </si>
  <si>
    <t>ΣΥΝ.ΕΞΟΔΩΝ</t>
  </si>
  <si>
    <t>ΚΕΡΔΗ</t>
  </si>
  <si>
    <t>Στόχος κέρδους =</t>
  </si>
  <si>
    <t>Παρακαλώ , μελετήστε το φύλλο BEP, και κατόπιν το φύλλο BEP W-PROFIT.</t>
  </si>
  <si>
    <t>3.ΝΕΚΡΟ ΣΗΜΕΙΟ - BREAK-EVEN POINT(BEP)</t>
  </si>
  <si>
    <t>ΝΕΚΡΟ ΣΗΜΕΙΟ ΜΕ ΚΕΡΔΟΣ</t>
  </si>
  <si>
    <t>CASE STUDY</t>
  </si>
  <si>
    <t>ΧΡΗΜΑΤΟΟΙΚΟΝΟΜΙΚΑ - ΔΑΝΕΙΑ</t>
  </si>
  <si>
    <t xml:space="preserve">Εστω τα παρακάτω στοιχεία απο Στεγαστικό μας Δάνειο.Να ευρεθεί η </t>
  </si>
  <si>
    <t>δόση και να γίνει πίνακας αποπληρωμής(Γαλλική μέθοδος).</t>
  </si>
  <si>
    <t>ΔΟΣΗ</t>
  </si>
  <si>
    <t xml:space="preserve">        Π Λ Η Ρ Ω Μ Ε Σ</t>
  </si>
  <si>
    <t>ΥΠΟΛΟΙΠΟ</t>
  </si>
  <si>
    <t>ΤΟΚΟΙ</t>
  </si>
  <si>
    <t>ΚΕΦΑΛΑΙΟΥ</t>
  </si>
  <si>
    <t>Παρακαλώ , μελετήστε το φύλλο FINANCE  (με βάση τις σημειώσεις σας), και το φύλλο LOAN.</t>
  </si>
  <si>
    <t>A)Μέθοδοι τιμολόγησης</t>
  </si>
  <si>
    <t>A2) MARKUP = (ΤΠ-ΤΑ)/ΤΠ</t>
  </si>
  <si>
    <t>B) ΕΓΧΩΡΙΑ ΠΑΡΑΓΩΓΗ + ΕΙΣΑΓΩΓΕΣ - ΕΞΑΓΩΓΕΣ = ΕΓΧΩΡΙΑ ΚΑΤΑΝΑΛΩΣΗ</t>
  </si>
  <si>
    <t>Γ) ΜΕΡΙΔΙΟ ΑΓΟΡΑΣ = ΠΩΛΗΣΕΙΣ ΣΕ ΤΕΜΑΧΙΑ ή Euro της Χ επιχείρησης / ΣΥΝΟΛΟ ΠΩΛΗΣΕΩΝ ΑΓΟΡΑΣ</t>
  </si>
  <si>
    <t>Ετήσια στοιχεία------&gt;</t>
  </si>
  <si>
    <t>Παρακαλώ , μελετήστε το φύλλο LOG1 και το φύλλο DEPRECIATION.</t>
  </si>
  <si>
    <t>Α1) COST+ = (ΤΠ-ΤΑ) / ΤΑ</t>
  </si>
  <si>
    <t>ΕΦΑΡΜΟΓΗ ΣΤΗΝ ΕΝΟΤΗΤΑ # 9. : ΑΝΑΛΥΣΗ ΟΙΚΟΝΟΜΙΚΩΝ ΚΑΤΑΣΤΑΣΕΩΝ</t>
  </si>
  <si>
    <t>ΟΡΙΖΟΝΤΙΑ ΚΑΙ ΚΑΘΕΤΗ ΑΝΑΛΥΣΗ ΑΠΟΤΕΛΕΣΜΑΤΩΝ ΧΡΗΣΗΣ (000.000)</t>
  </si>
  <si>
    <t>%</t>
  </si>
  <si>
    <t>1995-96</t>
  </si>
  <si>
    <t>1994-95</t>
  </si>
  <si>
    <t xml:space="preserve">  Έσοδα πωλήσεων</t>
  </si>
  <si>
    <t xml:space="preserve">- Κόστος πωλήσεων </t>
  </si>
  <si>
    <t>= Μικτό κέρδος</t>
  </si>
  <si>
    <t>- Έξοδα διοίκησης</t>
  </si>
  <si>
    <t>- Έξοδα διάθεσης</t>
  </si>
  <si>
    <t>= Αποτέλεσμα λειτουργίας</t>
  </si>
  <si>
    <t>- Χρηματοοικονομικά έξοδα</t>
  </si>
  <si>
    <t>= Ολικό αποτέλεσμα εκμετάλλευσης</t>
  </si>
  <si>
    <t>-  Έκτακτα και ανόργανα έξοδα</t>
  </si>
  <si>
    <t>= Κέρδη προ φόρων</t>
  </si>
  <si>
    <t>Ζητείται :</t>
  </si>
  <si>
    <t>Να γραφούν τα συμπεράσματα σας για την πορεία της εταιρίας.</t>
  </si>
  <si>
    <t>Παρακαλώ, μελετήστε τους ανωτέρω δείκτες και επισκεφθήτε το φύλλο ANALYSIS.</t>
  </si>
  <si>
    <t>ΩΜΕΓΑ Α.Ε. (Δεδομένοι είναι μόνον οι απόλυτοι αριθμοί - τα ποσοστά ευρίσκονται....)</t>
  </si>
  <si>
    <t>Εστω πουλήθηκε το CITROEN ZX στις 18/6/2004 αντί 2.000.000 . Να ευρεθεί το ανόργανο κέρδος ή ζημία της επιχείρησης.</t>
  </si>
  <si>
    <t>Συνολικές αποσβέσεις έως 18/6/2004 =</t>
  </si>
  <si>
    <t>Αναπόσβεστο υπόλοιπο στις 18/6/2004 =</t>
  </si>
  <si>
    <t>Ζημία = 2835000-2000000 =</t>
  </si>
  <si>
    <t>Εδώ βρίσκουμε τις τιμές πώλησης βάσει των 2 μεθόδων τιμολόγησης.</t>
  </si>
  <si>
    <t>Εδώ βρίσκουμε το ποσοστό κέρδους βάσει των 2 μεθόδων τιμολόγησης.</t>
  </si>
  <si>
    <t>Λήψη Δανείου</t>
  </si>
  <si>
    <t>Χρέωση "Ταμείο"(2850000),Πίστωση "Δάνειο" (2850000)</t>
  </si>
  <si>
    <t>Πληρωμή Δόσεων (Τοκοχρεωλύσιο=259153)</t>
  </si>
  <si>
    <t>Χρέωση έξοδο"Τόκοι"(235125),Χρέωση"Δάνειο" (24028),Πίστωση "Ταμείο"(259153)</t>
  </si>
  <si>
    <t>Βλέπε δίαυλο&gt;ACCOUNTING&gt;Log1-2-3-4-5.xls&gt;Log4</t>
  </si>
  <si>
    <t>ΦΥΛΛΟ ΕΡΓΑΣΙΑΣ</t>
  </si>
  <si>
    <t>ΤΠ = Τιμή Πώλησης, ΤΑ = Τιμή Αγοράς</t>
  </si>
  <si>
    <t>ΝΕΚΡΟ ΣΗΜΕΙΟ ΜΕ ΚΕΡΔΟΣ ΒΑΣΕΙ ΔΕΙΚΤΩΝ ΑΠΟΔΟΤΙΚΟΤΗΤΑΣ</t>
  </si>
  <si>
    <t>επι των πωλήσεων (Δείκτης καθαρού περιθωρίου κέρδους).</t>
  </si>
  <si>
    <t xml:space="preserve">Να ευρεθεί το Ν.Σ. </t>
  </si>
  <si>
    <t>Εχουμε : 1000*Χ - (10000+400Χ) = 0.2*1000*Χ ------&gt; 400*Χ = 10000 -----&gt; Χ=25</t>
  </si>
  <si>
    <t>Αλλά ας πάμε στο φύλλο ΛΟΓΙΣΤΙΚΗ</t>
  </si>
  <si>
    <t>BYTE A.E.</t>
  </si>
  <si>
    <t>ΙΑΝ</t>
  </si>
  <si>
    <t>ΦΕΒ</t>
  </si>
  <si>
    <t>ΜΑΡ</t>
  </si>
  <si>
    <t>ΑΠΡ</t>
  </si>
  <si>
    <t>ΜΑΪ</t>
  </si>
  <si>
    <t>ΙΟΥΝ</t>
  </si>
  <si>
    <t>ΠΩΛΗΣΕΙΣ(ΤΕΜΑΧΙΑ)</t>
  </si>
  <si>
    <t>ΠΩΛΗΣΕΙΣ(Εuro)</t>
  </si>
  <si>
    <t>ΚΟΣΤΟΣ</t>
  </si>
  <si>
    <t>ΜΙΚΤΟ ΚΕΡΔΟΣ</t>
  </si>
  <si>
    <t>ΕΞΟΔΑ(ΕΝΟΙΚΙΟ)</t>
  </si>
  <si>
    <t>ΚΠΤΦ</t>
  </si>
  <si>
    <t>Η επιχείρηση BYTE Α.Ε. εμπορεύεται Η/Υ ιδρύθηκε την 1/1/2000 με Μετοχικό Κεφάλαιο 1.000.000 Εuro καταβεβλημένου σε μετρητά.</t>
  </si>
  <si>
    <t>Η μέση τιμή αγοράς ενός Η/Υ είναι 100.000 Ε και η μέση τιμή πώλησης 200.000 Ε.</t>
  </si>
  <si>
    <t>Τα έξοδα της επιχείρησης είναι μόνο το ενοίκιο (100.000 Ε) που καταβάλλεται την 10η ημέρα κάθε μήνα.</t>
  </si>
  <si>
    <t>Οι αγορές και οι πωλήσεις γίνονται μετρητοίς. Αγοράζονται κάθε μήνα όσα τεμάχια θα πουληθούν.</t>
  </si>
  <si>
    <t>Αν είναι γνωστά τα τεμάχια Η/Υ που θα πουληθούν το Α' εξάμηνο του 2000, ζητούνται :</t>
  </si>
  <si>
    <t>1. Πίνακας αποτελεσμάτων χρήσης για κάθε μήνα, και συνολικός για το Α' εξάμηνο.</t>
  </si>
  <si>
    <t>2. Πίνακας ταμιακής ρευστότητας για κάθε μήνα.</t>
  </si>
  <si>
    <t>3. Πίνακας Ισολογισμού  για κάθε μήνα, και συνολικός για το Α' εξάμηνο.</t>
  </si>
  <si>
    <t>ΤΑ</t>
  </si>
  <si>
    <t>ΤΠ</t>
  </si>
  <si>
    <t>ΤΑΜΕΙΟ=</t>
  </si>
  <si>
    <t>ΜΕΤΟΧ.ΚΕΦΑΛΑΙΟ</t>
  </si>
  <si>
    <t>ΕΞΟΔΑ=</t>
  </si>
  <si>
    <t>ΑΠΟΤ/ΤΑ ΧΡΗΣΗΣ</t>
  </si>
  <si>
    <t>ΣΥΝΟΛΟ(30/6)</t>
  </si>
  <si>
    <t>ΟΙ ΠΕΛΑΤΕΣ ΚΑΙ ΟΙ ΠΡΟΜΗΘΕΥΤΕΣ ΠΛΗΡΩΝΟΥΝ/ΠΛΗΡΩΝΟΝΤΑΙ ΜΕΤΡΗΤΟΙΣ</t>
  </si>
  <si>
    <t>ΑΑ.ΤΑΜΕΙΟΥ</t>
  </si>
  <si>
    <t xml:space="preserve"> + ΕΙΣΠΡΑΞΕΙΣ</t>
  </si>
  <si>
    <t xml:space="preserve"> - ΠΛΗΡΩΜΕΣ</t>
  </si>
  <si>
    <t xml:space="preserve"> = ΤΑ.ΤΑΜΕΙΟΥ</t>
  </si>
  <si>
    <t>ΙΣΟΛΟΓΙΣΜΟΣ</t>
  </si>
  <si>
    <t>ΣΥΝ. ΕΝΕΡΓΗΤΙΚΟΥ</t>
  </si>
  <si>
    <t>ΚΕΡΔΗ εις ΝΕΟΝ</t>
  </si>
  <si>
    <t>ΣΥΝ.ΠΑΘΗΤΙΚΟΥ</t>
  </si>
  <si>
    <t>X</t>
  </si>
  <si>
    <t>ΜΕΣΟΣ</t>
  </si>
  <si>
    <t>=AVERAGE(A2:A#)</t>
  </si>
  <si>
    <t>ΜΕΓΙΣΤΟ</t>
  </si>
  <si>
    <t>=MAX(A2:A#)</t>
  </si>
  <si>
    <t>ΕΛΑΧΙΣΤΟ</t>
  </si>
  <si>
    <t>=MIN(A2:A#)</t>
  </si>
  <si>
    <t>ΑΡΙΘ. ΜΕΤΑΒΛΗΤΩΝ</t>
  </si>
  <si>
    <t>=COUNT(A2:A#)</t>
  </si>
  <si>
    <t>ΔΙΑΚΥΜΑΝΣΗ</t>
  </si>
  <si>
    <t>=VAR(A2:B#)</t>
  </si>
  <si>
    <t>ΤΥΠΙΚΗ ΑΠΟΚΛΙΣΗ</t>
  </si>
  <si>
    <t>=STDEV(A2:A#)</t>
  </si>
  <si>
    <t>Στην ανωτέρω άσκηση δίδονται οι τιμές των παρατηρήσεων του αριθμού των επιβατών 10 αναχωρήσεων του αστικού λεωφορείου απο τα ΤΕΙ για την Λάρισα.Γράψτε τα συμπεράσματά σας.</t>
  </si>
  <si>
    <t>ΑΣΚΗΣΗ ΤΜΗΜΑΤΟΣ ΠΙΣΤΩΣΕΩΝ(CREDIT CONTROL Dpmt.)</t>
  </si>
  <si>
    <t>ΧΡΟΝΟΣ ΕΝΗΛΙΚΙΩΣΗΣ ΠΕΛΑΤΩΝ  = AGING</t>
  </si>
  <si>
    <t>Δίδονται η σημερινή ημερομηνία και υπολογίζονται οι ημέρες που</t>
  </si>
  <si>
    <t>μεσολλάβησαν από την ημέρα αποστολής των εμπορευμάτων καί</t>
  </si>
  <si>
    <t>κοπής του Τιμολογίου(ΤΜ).</t>
  </si>
  <si>
    <t>ΣΗΜΕΡΑ είναι :</t>
  </si>
  <si>
    <t>ΠΕΛΑΤΕΣ</t>
  </si>
  <si>
    <t>ΗΜΕΡ.ΤΜ</t>
  </si>
  <si>
    <t>ΠΟΣΟ</t>
  </si>
  <si>
    <t>ΗΜΕΡΕΣ</t>
  </si>
  <si>
    <t>ΓΕΩΡΓΙΟΥ</t>
  </si>
  <si>
    <t>ΑΛΕΠΗΣ</t>
  </si>
  <si>
    <t>ΧΡΗΣΤΟΥ</t>
  </si>
  <si>
    <t>ΚΑΛΑΤΖΗΣ</t>
  </si>
  <si>
    <t>Ετσι η κατάσταση ενηλικίωσης πελατών θα έχει ως εξής:</t>
  </si>
  <si>
    <t>ΚΑΤΑΣΤΑΣΗ - AGING ΠΕΛΑΤΩΝ</t>
  </si>
  <si>
    <t>ΠΟΣΟΣΤΟ</t>
  </si>
  <si>
    <t>0 - 30</t>
  </si>
  <si>
    <t>30-60</t>
  </si>
  <si>
    <t>60-90</t>
  </si>
  <si>
    <t>&gt;90</t>
  </si>
  <si>
    <t>Αν π.χ. η επιχείρηση δίνει πίστωση 3 μηνών , τότε 27.27% των απαιτήσεων</t>
  </si>
  <si>
    <t>της είναι εκτός πιστωτικών ορίων.</t>
  </si>
  <si>
    <t>ΑΣΚΗΣΗ</t>
  </si>
  <si>
    <r>
      <t xml:space="preserve">Να κάνετε την κατάσταση </t>
    </r>
    <r>
      <rPr>
        <b/>
        <sz val="10"/>
        <rFont val="Arial Greek"/>
        <charset val="161"/>
      </rPr>
      <t>aging</t>
    </r>
    <r>
      <rPr>
        <sz val="10"/>
        <rFont val="Arial Greek"/>
        <charset val="161"/>
      </rPr>
      <t xml:space="preserve"> και να υπολογισθεί το ποσοστό των παρακάτω απαιτήσεων που έχουν ξεπεράσει τις 60 ημέρες.</t>
    </r>
  </si>
  <si>
    <t>ABC1</t>
  </si>
  <si>
    <t>ABC2</t>
  </si>
  <si>
    <t>ABC3</t>
  </si>
  <si>
    <t>ABC4</t>
  </si>
  <si>
    <t>ABC5</t>
  </si>
  <si>
    <t>ABC6</t>
  </si>
  <si>
    <t>ABC7</t>
  </si>
  <si>
    <t>ABC8</t>
  </si>
  <si>
    <t>ABC9</t>
  </si>
  <si>
    <t>ABC10</t>
  </si>
  <si>
    <t>ABC11</t>
  </si>
  <si>
    <t>ABC12</t>
  </si>
  <si>
    <t>ABC13</t>
  </si>
  <si>
    <t>ABC14</t>
  </si>
  <si>
    <t>ABC15</t>
  </si>
  <si>
    <t>Αρα 70% των απαιτήσεων είναι εκτός ορίων.</t>
  </si>
  <si>
    <t>ΣΥΝΟΛΟ------------&gt;</t>
  </si>
  <si>
    <t>ΑΤΟΜΙΚΗ ΑΣΚΗΣΗ</t>
  </si>
  <si>
    <t>Δίδονται οι πωλήσεις σε τεμάχια και αξία της επιχείρησης ΑΚΡ0ΑΜΑ Α.Ε. το έτος 1998.</t>
  </si>
  <si>
    <t>Η επιχείρηση δραστηριοποιείται στην πώληση αναλωσιμων γραφείου.</t>
  </si>
  <si>
    <t xml:space="preserve">Να ευρεθεί το ποσοστό των πωλήσεων που πραγματοποιείται απο το μεγαλύτερο 20% </t>
  </si>
  <si>
    <t>του αριθμού των κωδικών.</t>
  </si>
  <si>
    <t>ΚΩΔΙΚΟΣ</t>
  </si>
  <si>
    <t>TIMH</t>
  </si>
  <si>
    <t>ΤΕΜΜΑΧΙΑ</t>
  </si>
  <si>
    <t>A1</t>
  </si>
  <si>
    <t>A2</t>
  </si>
  <si>
    <t>A3</t>
  </si>
  <si>
    <t>A4</t>
  </si>
  <si>
    <t>A5</t>
  </si>
  <si>
    <t>B1</t>
  </si>
  <si>
    <t>B2</t>
  </si>
  <si>
    <t>B3</t>
  </si>
  <si>
    <t>B4</t>
  </si>
  <si>
    <t>B5</t>
  </si>
  <si>
    <t>C1</t>
  </si>
  <si>
    <t>C2</t>
  </si>
  <si>
    <t>C3</t>
  </si>
  <si>
    <t>C4</t>
  </si>
  <si>
    <t>C5</t>
  </si>
  <si>
    <t>D1</t>
  </si>
  <si>
    <t>D2</t>
  </si>
  <si>
    <t>D3</t>
  </si>
  <si>
    <t>D4</t>
  </si>
  <si>
    <t>D5</t>
  </si>
  <si>
    <t>E1</t>
  </si>
  <si>
    <t>E2</t>
  </si>
  <si>
    <t>E3</t>
  </si>
  <si>
    <t>E4</t>
  </si>
  <si>
    <t>E5</t>
  </si>
  <si>
    <t>F1</t>
  </si>
  <si>
    <t>F2</t>
  </si>
  <si>
    <t>F3</t>
  </si>
  <si>
    <t>F4</t>
  </si>
  <si>
    <t>F5</t>
  </si>
  <si>
    <t>G1</t>
  </si>
  <si>
    <t>G2</t>
  </si>
  <si>
    <t>G3</t>
  </si>
  <si>
    <t>G4</t>
  </si>
  <si>
    <t>G5</t>
  </si>
  <si>
    <t>COUNT</t>
  </si>
  <si>
    <t>X20%</t>
  </si>
  <si>
    <t>RESULT</t>
  </si>
  <si>
    <t>Θα αναλάβουμε την κατασκευή ενός έργου που θα κοστίσει 20,000 € με αυτοχρηματοδότηση, και θα έχουμε την εκμετάλλευση του έργου για 3 έτη. Υπολογίζουμε να έχουμε στο τέλος καθενός από τα 3 έτη κέρδη 5,000 , 10,000 και 12,000  € αντίστοιχα. Να ευρεθεί η καθαρή παρούσα αξία του έργου με επιτόκιο 10%.</t>
  </si>
  <si>
    <t>ΚΑΘΑΡΗ ΠΑΡΟΥΣΑ ΑΞΙΑ ΕΡΓΟΥ</t>
  </si>
  <si>
    <t>Επένδυση σήμερα =</t>
  </si>
  <si>
    <t>Κέρδη 1ου έτους =</t>
  </si>
  <si>
    <t>Κέρδη 2ου έτους =</t>
  </si>
  <si>
    <t>Κέρδη 3ου έτους =</t>
  </si>
  <si>
    <t>Παρούσα αξία σήμερα</t>
  </si>
  <si>
    <t>Παρούσα αξία κερδών =</t>
  </si>
  <si>
    <t>ΚΑΘΑΡΗ ΠΑΡΟΥΣΑ ΑΞΙΑ ΕΡΓΟΥ=</t>
  </si>
  <si>
    <r>
      <t xml:space="preserve">Η </t>
    </r>
    <r>
      <rPr>
        <b/>
        <sz val="10"/>
        <rFont val="Arial"/>
        <family val="2"/>
      </rPr>
      <t xml:space="preserve"> Singuular Α.Ε</t>
    </r>
    <r>
      <rPr>
        <sz val="10"/>
        <rFont val="Arial"/>
        <family val="2"/>
      </rPr>
      <t>. εμπορεύεται P.C.</t>
    </r>
    <r>
      <rPr>
        <b/>
        <sz val="10"/>
        <rFont val="Arial"/>
        <family val="2"/>
      </rPr>
      <t xml:space="preserve"> </t>
    </r>
    <r>
      <rPr>
        <sz val="10"/>
        <rFont val="Arial"/>
        <family val="2"/>
      </rPr>
      <t xml:space="preserve">και υπολογίζει να πουλήσει το 1997,  200 τεμάχια, το 1998 250 τεμάχια και το 1999  300 τεμάχια. Η τιμή πώλησης το 1997 είναι 300.000 δραχμές και η τιμή αγοράς 100.000 δραχμές. Η εταιρεία ιδρύθηκε την 1/1/97 με ίδιο κεφάλαιο 2.000.000 δρχ (μετρητά). </t>
    </r>
  </si>
  <si>
    <t>Απασχολεί 2 υπαλλήλους με μηνιαίο μισθό 100.000 τον ένα και 120.000 τον άλλο. Το Ι.Κ.Α.  του εργαζομένου είναι 15% και το Ι.Κ.Α. του εργοδότη 30%.</t>
  </si>
  <si>
    <r>
      <t xml:space="preserve">Σημείωση : </t>
    </r>
    <r>
      <rPr>
        <sz val="10"/>
        <rFont val="Arial"/>
        <family val="2"/>
      </rPr>
      <t xml:space="preserve">Η εταιρεία επανεπενδύει τα κέρδη και δεν υπάρχουν  φόροι. </t>
    </r>
  </si>
  <si>
    <t>1. ΜΙΣΘΟΔΟΣΙΑ</t>
  </si>
  <si>
    <t>Υπάλληλοι</t>
  </si>
  <si>
    <t>Μισθός</t>
  </si>
  <si>
    <t>ΙΚΑ εργαζόμενου</t>
  </si>
  <si>
    <t>ΙΚΑ Εργοδότη</t>
  </si>
  <si>
    <t>Καθαρό πληρωτέο</t>
  </si>
  <si>
    <t>Δαπάνη μισθών</t>
  </si>
  <si>
    <t>Σύνολο</t>
  </si>
  <si>
    <t>Αρα έχουμε: (220000 Χ 14) =3080000 + (66000 Χ14) =  924000</t>
  </si>
  <si>
    <t>Σύνολο ετήσιας δαπάνης για την εταιρία =3080000+924000= 4,004,000</t>
  </si>
  <si>
    <r>
      <t xml:space="preserve">2. ΕΝΟΙΚΙΑ: </t>
    </r>
    <r>
      <rPr>
        <b/>
        <sz val="10"/>
        <rFont val="Arial"/>
        <family val="2"/>
      </rPr>
      <t>80000 Χ 12 =960000</t>
    </r>
  </si>
  <si>
    <t xml:space="preserve">ΠΩΛΗΣΕΙΣ   (200 Χ 300.000 )    </t>
  </si>
  <si>
    <t xml:space="preserve"> - ΚΟΣΤΟΣ ΠΩΛ/ΝΤΩΝ   (200 Χ 100.000 )      </t>
  </si>
  <si>
    <t xml:space="preserve"> = ΜΙΚΤΟ ΚΕΡΔΟΣ</t>
  </si>
  <si>
    <t xml:space="preserve">- ΕΞΟΔΑ (ΕΝΟΙΚΙΑ)                             </t>
  </si>
  <si>
    <t xml:space="preserve">- ΜΙΣΘΟΙ &amp; ΙΚΑ                                 </t>
  </si>
  <si>
    <t xml:space="preserve">- ΑΠΟΣΒΕΣΕΙΣ                                    </t>
  </si>
  <si>
    <t xml:space="preserve"> = ΚΑΘΑΡΑ ΚΕΡΔΗ</t>
  </si>
  <si>
    <r>
      <t>ΕΝΕΡΓΗΤΙΚΟ</t>
    </r>
    <r>
      <rPr>
        <b/>
        <u/>
        <sz val="10"/>
        <rFont val="Arial"/>
        <family val="2"/>
      </rPr>
      <t xml:space="preserve">                      </t>
    </r>
    <r>
      <rPr>
        <b/>
        <u/>
        <sz val="10"/>
        <color indexed="17"/>
        <rFont val="Arial"/>
        <family val="2"/>
        <charset val="161"/>
      </rPr>
      <t>ΙΣΟΛΟΓΙΣΜΟΣ 1997</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</si>
  <si>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1998</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</si>
  <si>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1999</t>
    </r>
    <r>
      <rPr>
        <b/>
        <u/>
        <sz val="10"/>
        <rFont val="Arial"/>
        <family val="2"/>
      </rPr>
      <t xml:space="preserve">              </t>
    </r>
    <r>
      <rPr>
        <b/>
        <u/>
        <sz val="10"/>
        <color indexed="52"/>
        <rFont val="Arial"/>
        <family val="2"/>
        <charset val="161"/>
      </rPr>
      <t>ΠΑΘΗΤΙΚΟ</t>
    </r>
  </si>
  <si>
    <t>Έχει πάγια περιουσιακά στοιχεία, 2 υπολογιστικά συστήματα (αγορά στις 10/2/97) αξίας  1.000.000, με συντελεστή απόσβεσης 20% .</t>
  </si>
  <si>
    <t>Αγόρασε ένα αυτοκίνητο Citroen Saxo 3.000.000 μετρητοίς στις 20/5/97, με συντελεστή απόσβεσης 12%.Ολες οι πληρωμές και οι εισπράξεις γίνονται μετρητοίς . Μηνιαίο ενοίκιο καταστήματος 80.000 .</t>
  </si>
  <si>
    <t>3. ΑΠΟΣΒΕΣΕΙΣ ΠΑΓΙΩΝ(Γενική μορφή)</t>
  </si>
  <si>
    <t>ΑΠΟΣΒΕΣΕΙΣ 1997</t>
  </si>
  <si>
    <t>Είδος Παγίου</t>
  </si>
  <si>
    <t xml:space="preserve">Αξία </t>
  </si>
  <si>
    <t>Ημερομηνία Κτήσης</t>
  </si>
  <si>
    <t>Απόσβεση</t>
  </si>
  <si>
    <t>Υπόλοιπο</t>
  </si>
  <si>
    <t>Η/Υ</t>
  </si>
  <si>
    <t>Citroen Saxo</t>
  </si>
  <si>
    <t>ΑΠΟΣΒΕΣΕΙΣ 1998</t>
  </si>
  <si>
    <t>Συντελ.Απόσβεσης</t>
  </si>
  <si>
    <t>ΑΠΟΣΒΕΣΕΙΣ 1999</t>
  </si>
  <si>
    <t>Αξία</t>
  </si>
  <si>
    <t>Συντ.Απόσβεσης</t>
  </si>
  <si>
    <t>Η αύξηση της τιμής ενός αγαθού από 60 σε 90 ευρώ, μειώνει την ζητούμενη ποσότητα από 2000 σε 1000 τεμάχια.</t>
  </si>
  <si>
    <t>Να υπολογισθεί η ελαστικότητα ζήτησης.</t>
  </si>
  <si>
    <t>PRICE</t>
  </si>
  <si>
    <t>QUANTITY</t>
  </si>
  <si>
    <t>α' τρόπος</t>
  </si>
  <si>
    <t>β' τρόπος</t>
  </si>
  <si>
    <t>Ελαστικότητα =</t>
  </si>
  <si>
    <t xml:space="preserve"> =(ΔQ/ΔP)*(P/Q)</t>
  </si>
  <si>
    <t>6. BUDGETING</t>
  </si>
  <si>
    <t>ΠΑΝΤΑ ΞΕΚΙΝΑΜΕ ΑΠΟ ΤΟΝ ΠΡΟΥΠΟΛΟΓΙΣΜΟ ΠΩΛΗΣΕΩΝ</t>
  </si>
  <si>
    <r>
      <t xml:space="preserve">Αν είναι Εμπορική επιχείρηση </t>
    </r>
    <r>
      <rPr>
        <sz val="10"/>
        <rFont val="Arial Greek"/>
        <charset val="161"/>
      </rPr>
      <t>και συνεπώς δεν έχουμε παραγωγή , τότε το επόμενο βήμα μας είναι ο προυπολογισμός  ΑΓΟΡΩΝ.           ΑΓΟΡΕΣ = Επιθυμητό Τελικό Απόθεμα + Πωλήσεις - Αρχικό Απόθεμα ( ΑΓ=ΕΤΑ+Π-ΑΑ (σε τεμάχια)).                                                          Για τον υπολογισμό των Αγορών σε αξία , πολλαπλασιάζουμε τα τεμάχια που βρήκαμε  επί την αγοραία τους αξία.                                             Το τελευταίο βήμα ειναι ο υπολογισμός του Κόστους Πωληθέντων εμπορευμάτων.                                                                                            Κοστος Πωληθέντων = Αρχικό Απόθεμα + Αγορές - Τελικό Απόθεμα (ΚΠ=ΑΓ+ΤΑ-ΑΑ ), και έτσι έχουμε                                                         ΜΙΚΤΑ ΚΕΡΔΗ = ΠΩΛΗΣΕΙΣ - ΚΟΣΤΟΣ ΠΩΛΗΘΕΝΤΩΝ</t>
    </r>
  </si>
  <si>
    <r>
      <t>Αν είναι Βιομηχανική Επιχείρηση , και συνεπώς έχουμε παραγωγή, τότε το επόμενο βήμα μετά τον προϋπολογισμό πωλήσεων είναι ο Ποσοτικός Προϋπολογισμός Παραγωγής Ετοίμων Προϊόντων.</t>
    </r>
    <r>
      <rPr>
        <sz val="10"/>
        <rFont val="Arial Greek"/>
        <charset val="161"/>
      </rPr>
      <t xml:space="preserve"> ( ΠΠΠΕΠ = ΠΩΛΗΣΕΙΣ + TA - ΑΑ).                                                                                           Κατόπιν είναι ο Προϋπολογισμός  Άμεσων Υλικών.                                                                                                                         Υπολογίζουμε πρώτα την προβλεπόμενη κατανάλωση κάθε Άμεσου Υλικού για την παραγωγή μίας μονάδας παραγωγής ετοίμου προϊόντος. Κατόπιν την πολλαπλασιάζουμε με τις απαιτούμενες μονάδες παραγωγής.                                                                                                   Το επόμενο βήμα, ο προϋπολογισμός Αγορών Άμεσων Υλικών , που εξαρτάται από το Επιθυμητό Τελικό Απόθεμα του Άμεσου Υλικού και τα διαθέσιμα Αρχικά του Αποθέματα.                                                                                                                                                         Αγορές Άμεσου Υλικού = Προβλεπόμενη Ανάλωση (στην παραγωγή) + Επιθυμητό Τελικό Απόθεμα - Αρχικό Απόθεμα.                                         Ο προϋπολογισμός Άμεσης Εργασίας υπολογίζεται με βάση τον χρόνο που απαιτείται για την παραγωγή μιας μονάδας έτοιμου προϊόντος.        Η προβλεπόμενη ανάλωση Αμέσου Εργασίας πολλαπλασιαζόμενη με τον όγκο παραγωγής  μας δίνει τις απαιτούμενες ώρες εργασίας, που πολλαπλασιαζόμενες με την αξία του ωρομισθίου μας προσδιορίζουν το προβλεπόμενο κόστος Άμεσης εργασίας.</t>
    </r>
  </si>
  <si>
    <t>ΠΛΑΝΟ ΔΡΑΣΗΣ- SALES BUDGET</t>
  </si>
  <si>
    <t>Η Επιχείρηση ''ΚΟΤΣΟΒΟΛΟΣ" Α.Ε. προγραμματιζει για την Περιφέρεια</t>
  </si>
  <si>
    <t>Δ.Μακεδονίας να πουλήσει τίς παρακάτω Ηλεκτρικές Συσκευες ΦΙΛΙΠΣ.</t>
  </si>
  <si>
    <t>ΚΟΖΑΝΗ</t>
  </si>
  <si>
    <t>ΦΛΩΡΙΝΑ</t>
  </si>
  <si>
    <t>ΓΡΕΒΕΝΑ</t>
  </si>
  <si>
    <t>ΚΑΣΤΟΡΙΑ</t>
  </si>
  <si>
    <t>ΤΙΜΗ ΠΩΛΗΣΗΣ</t>
  </si>
  <si>
    <t>ΨΥΓΕΙΑ</t>
  </si>
  <si>
    <t>ΚΟΥΖΙΝΕΣ</t>
  </si>
  <si>
    <t>ΠΛΥΝΤΗΡΙΑ</t>
  </si>
  <si>
    <t>ΝΑ ΓΙΝΕΙ ΠΙΝΑΚΑΣ ΠΡΟΥΠΟΛΟΓΙΣΜΟΥ ΠΩΛΗΣΕΩΝ.</t>
  </si>
  <si>
    <t>ΔΙΔΟΝΤΑΙ</t>
  </si>
  <si>
    <t>ΖΗΤΕΙΤΑΙ</t>
  </si>
  <si>
    <t>1. ΠΡΟΒΛΕΠΟΜΕΝΕΣ ΠΩΛΗΣΕΙΣ 1999</t>
  </si>
  <si>
    <t>1.Προυπολογισμός πωλήσεων (δρχ.)</t>
  </si>
  <si>
    <t>ΠΡΟΙΟΝ</t>
  </si>
  <si>
    <t>ΜΟΝΑΔΕΣ</t>
  </si>
  <si>
    <t>ΤΙΜΗ ΜΟΝΑΔΑΣ</t>
  </si>
  <si>
    <t>2.Προυπολογισμός παραγωγής (ποσότητες)</t>
  </si>
  <si>
    <t>Α</t>
  </si>
  <si>
    <t>3.Προυπολογισμός αγοράς υλικών (ποσότητες)</t>
  </si>
  <si>
    <t>2. ΠΡΟΒΛΕΠΟΜΕΝΑ ΑΠΟΘΕΜΑΤΑ 1/1/99</t>
  </si>
  <si>
    <t>3. ΕΠΙΘΥΜΗΤΑ ΑΠΟΘΕΜΑΤΑ 31/12/99</t>
  </si>
  <si>
    <t>4.Προυπολογισμός αγοράς υλικών (δρχ.)</t>
  </si>
  <si>
    <t>5.Προυπολογισμός άμεσου εργατικού κόστους (δρχ.)</t>
  </si>
  <si>
    <t>6.Προυπολογισμός Γενικών Βιομηχανικών Εξόδων(ΓΒΕ)</t>
  </si>
  <si>
    <t>4. ΥΛΙΚΑ ΧΡΗΣΙΜΟΠΟΙΟΥΜΕΝΑ ΣΤΗΝ ΠΑΡΑΓΩΓΗ</t>
  </si>
  <si>
    <t>5. FORMULA</t>
  </si>
  <si>
    <t>7.Προυπολογισμός Κόστους ανα Μονάδα</t>
  </si>
  <si>
    <t>ΑΡ.ΥΛΙΚΟΥ</t>
  </si>
  <si>
    <t>ΜΟΝΑΔΑ</t>
  </si>
  <si>
    <t>8.Προυπολογισμός Αποτελεσμάτων.</t>
  </si>
  <si>
    <t>Α11</t>
  </si>
  <si>
    <t>ΤΕΜΑΧΙΟ</t>
  </si>
  <si>
    <t>Β11</t>
  </si>
  <si>
    <t>Ε11</t>
  </si>
  <si>
    <t>ΜΕΤΡΑ</t>
  </si>
  <si>
    <t>6. ΠΡΟΒΛΕΠΟΜΕΝΑ ΑΠΟΘΕΜΑΤΑ 1/1/99</t>
  </si>
  <si>
    <t>7. ΕΠΙΘΥΜΗΤΑ ΑΠΟΘΕΜΑΤΑ 31/12</t>
  </si>
  <si>
    <t>8. ΑΝΑΓΚΕΣ ΣΕ ΕΡΓΑΤΙΚΟ ΔΥΝΑΜΙΚΟ ΚΑΙ ΑΜΟΙΒΕΣ</t>
  </si>
  <si>
    <t>ΩΡΕΣ/ΜΟΝΑΔΑ</t>
  </si>
  <si>
    <t>ΑΜΟΙΒΗ/ΩΡΑ</t>
  </si>
  <si>
    <t>9. ΓΕΝΙΚΑ ΒΙΟΜΗΧΑΝΙΚΑ ΕΞΟΔΑ (ανα ώρα αμέσου εργασίας) =</t>
  </si>
  <si>
    <t>ΕΠΙΘΥΜΗΤΑ ΑΠΟΘΕΜΑΤΑ 31/12/99</t>
  </si>
  <si>
    <t>ΠΡΟΒΛΕΠΟΜΕΝΕΣ ΠΩΛΗΣΕΙΣ 1999</t>
  </si>
  <si>
    <t>ΠΡΟΒΛΕΠΟΜΕΝΑ ΑΠΟΘΕΜΑΤΑ 1/1/99</t>
  </si>
  <si>
    <t>ΠΑΡΑΓΩΓΗ</t>
  </si>
  <si>
    <t>ΦΟΡΜΟΥΛΑ</t>
  </si>
  <si>
    <t>ΑΓΟΡΕΣ</t>
  </si>
  <si>
    <t>Ωρες άμεσης εργασίας =</t>
  </si>
  <si>
    <t>ΑΜΕΣΑ ΥΛΙΚΑ</t>
  </si>
  <si>
    <t>ΑΜΕΣΑ ΕΡΓΑΤΙΚΑ</t>
  </si>
  <si>
    <t>ΓΒΕ</t>
  </si>
  <si>
    <t>ΓΒΕ/ΩΡΑ</t>
  </si>
  <si>
    <t>Κόστος ανα Μονάδα =</t>
  </si>
  <si>
    <t>ΚΟΣΤΟΣ ΠΩΛΗΘΕΝΤΩΝ</t>
  </si>
  <si>
    <t>ΜΕΡΙΣΜΟΣ - ΚΟΣΤΟΛΟΓΗΣΗ</t>
  </si>
  <si>
    <t>Εχετε αναλάβει την διαχείριση μίας πολυκατοικίας Ζ.</t>
  </si>
  <si>
    <t>Αποτελείται από 5 διαμερίσματα Α,Β,Γ,Δ και Ε , με 30 τ.μ.,40,50,80 και 100τ.μ. αντιστοίχως.</t>
  </si>
  <si>
    <t>Στο Α διαμέρισμα κατοικούν 2 άτομα, στο Β κατοικούν 3,στό Γ κατοικούν 4 , στο Δ κατοικούν 4,και στο Ε κατοικούν 5 άτομα.</t>
  </si>
  <si>
    <t>Τα έξοδα πετρελαίου(100,000 δρχ.) κατανέμονται ανάλογα με τα τ.μ. του κάθε διαμερίσματος,τα έξοδα της Δ.Ε.Η.(50,000 δρχ.) ανάλογα με τον αριθμό των ενοίκων του κάθε διαμερίσματος,και ο μισθός της καθαρίστριας(60,000 δρχ.)επιβαρύνει με το ίδιο ποσό(ισομερώς) κάθε διαμέρισμα.</t>
  </si>
  <si>
    <t>1. Να γίνει πίνακας κατανομής κοινοχρήστων.</t>
  </si>
  <si>
    <t>ΔΙΑΜ/ΤΑ</t>
  </si>
  <si>
    <t>Β</t>
  </si>
  <si>
    <t>Γ</t>
  </si>
  <si>
    <t>Δ</t>
  </si>
  <si>
    <t>Ε</t>
  </si>
  <si>
    <t>ΤΕΤ.ΜΕΤΡΑ</t>
  </si>
  <si>
    <t>ΑΤΟΜΑ</t>
  </si>
  <si>
    <t>ΠΕΤΡΕΛΑΙΟ</t>
  </si>
  <si>
    <t>Δ.Ε.Η.</t>
  </si>
  <si>
    <t>ΜΙΣΘΟΣ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</si>
</sst>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5" formatCode="#,##0\ &quot;Δρχ&quot;;[Red]\-#,##0\ &quot;Δρχ&quot;"/>
    <numFmt numFmtId="171" formatCode="_-* #,##0.00\ _Δ_ρ_χ_-;\-* #,##0.00\ _Δ_ρ_χ_-;_-* &quot;-&quot;??\ _Δ_ρ_χ_-;_-@_-"/>
    <numFmt numFmtId="172" formatCode="0.0%"/>
    <numFmt numFmtId="178" formatCode="_-* #,##0_-;\-* #,##0_-;_-* &quot;-&quot;??_-;_-@_-"/>
    <numFmt numFmtId="180" formatCode="_-* #,##0.0_Δ_ρ_χ_-;\-* #,##0.0_Δ_ρ_χ_-;_-* &quot;-&quot;??_Δ_ρ_χ_-;_-@_-"/>
    <numFmt numFmtId="181" formatCode="d\ mmmm\ yyyy"/>
    <numFmt numFmtId="183" formatCode="#.##0\ &quot;Δρχ&quot;"/>
  </numFmts>
  <fonts count="103" x14ac:knownFonts="1">
    <font>
      <sz val="10"/>
      <name val="Arial Greek"/>
      <charset val="161"/>
    </font>
    <font>
      <sz val="10"/>
      <name val="Arial Greek"/>
      <charset val="161"/>
    </font>
    <font>
      <b/>
      <u/>
      <sz val="10"/>
      <name val="Arial Greek"/>
      <charset val="161"/>
    </font>
    <font>
      <sz val="8"/>
      <name val="Arial Greek"/>
      <charset val="161"/>
    </font>
    <font>
      <b/>
      <u/>
      <sz val="8"/>
      <name val="Arial Greek"/>
      <charset val="161"/>
    </font>
    <font>
      <sz val="10"/>
      <name val="Arial"/>
      <family val="2"/>
    </font>
    <font>
      <u/>
      <sz val="10"/>
      <name val="Arial"/>
      <family val="2"/>
    </font>
    <font>
      <b/>
      <u/>
      <sz val="10"/>
      <name val="Arial"/>
      <family val="2"/>
    </font>
    <font>
      <b/>
      <sz val="10"/>
      <name val="Arial"/>
      <family val="2"/>
    </font>
    <font>
      <sz val="10"/>
      <name val="Arial Greek"/>
      <charset val="161"/>
    </font>
    <font>
      <sz val="8"/>
      <color indexed="10"/>
      <name val="Arial Greek"/>
      <charset val="161"/>
    </font>
    <font>
      <sz val="10"/>
      <color indexed="10"/>
      <name val="Arial Greek"/>
      <charset val="161"/>
    </font>
    <font>
      <sz val="8"/>
      <color indexed="12"/>
      <name val="Arial Greek"/>
      <charset val="161"/>
    </font>
    <font>
      <sz val="10"/>
      <color indexed="12"/>
      <name val="Arial Greek"/>
      <charset val="161"/>
    </font>
    <font>
      <sz val="8"/>
      <color indexed="8"/>
      <name val="Arial Greek"/>
      <charset val="161"/>
    </font>
    <font>
      <sz val="10"/>
      <color indexed="8"/>
      <name val="Arial Greek"/>
      <charset val="161"/>
    </font>
    <font>
      <b/>
      <u/>
      <sz val="8"/>
      <color indexed="10"/>
      <name val="Arial Greek"/>
      <charset val="161"/>
    </font>
    <font>
      <sz val="8"/>
      <color indexed="57"/>
      <name val="Arial Greek"/>
      <charset val="161"/>
    </font>
    <font>
      <sz val="10"/>
      <color indexed="57"/>
      <name val="Arial Greek"/>
      <charset val="161"/>
    </font>
    <font>
      <sz val="8"/>
      <color indexed="81"/>
      <name val="Tahoma"/>
      <charset val="161"/>
    </font>
    <font>
      <u/>
      <sz val="8"/>
      <color indexed="81"/>
      <name val="Tahoma"/>
      <family val="2"/>
    </font>
    <font>
      <sz val="8"/>
      <color indexed="62"/>
      <name val="Arial Greek"/>
      <charset val="161"/>
    </font>
    <font>
      <sz val="10"/>
      <color indexed="62"/>
      <name val="Arial Greek"/>
      <charset val="161"/>
    </font>
    <font>
      <sz val="14"/>
      <name val="Arial Greek"/>
      <charset val="161"/>
    </font>
    <font>
      <sz val="14"/>
      <color indexed="10"/>
      <name val="Arial Greek"/>
      <charset val="161"/>
    </font>
    <font>
      <sz val="18"/>
      <color indexed="41"/>
      <name val="Arial Greek"/>
      <charset val="161"/>
    </font>
    <font>
      <sz val="20"/>
      <color indexed="41"/>
      <name val="Arial Greek"/>
      <charset val="161"/>
    </font>
    <font>
      <sz val="10"/>
      <color indexed="10"/>
      <name val="Arial"/>
      <family val="2"/>
    </font>
    <font>
      <b/>
      <sz val="10"/>
      <color indexed="10"/>
      <name val="Arial"/>
      <family val="2"/>
    </font>
    <font>
      <b/>
      <u/>
      <sz val="10"/>
      <color indexed="14"/>
      <name val="Arial"/>
      <family val="2"/>
    </font>
    <font>
      <u/>
      <sz val="10"/>
      <color indexed="14"/>
      <name val="Arial Greek"/>
      <charset val="161"/>
    </font>
    <font>
      <b/>
      <sz val="10"/>
      <name val="Arial Greek"/>
      <charset val="161"/>
    </font>
    <font>
      <sz val="9"/>
      <name val="Arial Greek"/>
      <charset val="161"/>
    </font>
    <font>
      <sz val="9"/>
      <color indexed="8"/>
      <name val="Arial Greek"/>
      <charset val="161"/>
    </font>
    <font>
      <b/>
      <sz val="9"/>
      <name val="Times New Roman"/>
      <family val="1"/>
    </font>
    <font>
      <sz val="9"/>
      <name val="Arial"/>
      <family val="2"/>
    </font>
    <font>
      <sz val="9"/>
      <name val="Times New Roman"/>
      <family val="1"/>
    </font>
    <font>
      <b/>
      <u/>
      <sz val="9"/>
      <color indexed="10"/>
      <name val="Arial Greek"/>
      <charset val="161"/>
    </font>
    <font>
      <b/>
      <i/>
      <u/>
      <sz val="9"/>
      <name val="Arial Greek"/>
      <charset val="161"/>
    </font>
    <font>
      <b/>
      <i/>
      <u/>
      <sz val="9"/>
      <color indexed="12"/>
      <name val="Arial Greek"/>
      <charset val="161"/>
    </font>
    <font>
      <b/>
      <u/>
      <sz val="11"/>
      <color indexed="10"/>
      <name val="Arial Greek"/>
      <charset val="161"/>
    </font>
    <font>
      <sz val="11"/>
      <color indexed="10"/>
      <name val="Arial Greek"/>
      <charset val="161"/>
    </font>
    <font>
      <b/>
      <u/>
      <sz val="8"/>
      <color indexed="60"/>
      <name val="Arial Greek"/>
      <charset val="161"/>
    </font>
    <font>
      <b/>
      <u/>
      <sz val="8"/>
      <color indexed="14"/>
      <name val="Arial Greek"/>
      <charset val="161"/>
    </font>
    <font>
      <sz val="8"/>
      <name val="Arial"/>
      <family val="2"/>
    </font>
    <font>
      <b/>
      <u/>
      <sz val="8"/>
      <color indexed="12"/>
      <name val="Arial Greek"/>
      <charset val="161"/>
    </font>
    <font>
      <sz val="8"/>
      <color indexed="11"/>
      <name val="Arial Greek"/>
      <charset val="161"/>
    </font>
    <font>
      <b/>
      <sz val="12"/>
      <name val="Arial Greek"/>
      <charset val="161"/>
    </font>
    <font>
      <b/>
      <u/>
      <sz val="8"/>
      <name val="Arial"/>
      <family val="2"/>
    </font>
    <font>
      <i/>
      <u/>
      <sz val="8"/>
      <name val="Arial"/>
      <family val="2"/>
    </font>
    <font>
      <sz val="8"/>
      <color indexed="10"/>
      <name val="Arial"/>
      <family val="2"/>
    </font>
    <font>
      <sz val="7"/>
      <color indexed="10"/>
      <name val="Arial"/>
      <family val="2"/>
    </font>
    <font>
      <sz val="7"/>
      <color indexed="10"/>
      <name val="Arial Greek"/>
      <charset val="161"/>
    </font>
    <font>
      <sz val="8"/>
      <color indexed="12"/>
      <name val="Arial"/>
      <family val="2"/>
    </font>
    <font>
      <sz val="8"/>
      <color indexed="16"/>
      <name val="Arial Greek"/>
      <charset val="161"/>
    </font>
    <font>
      <sz val="10"/>
      <color indexed="60"/>
      <name val="Arial Greek"/>
      <charset val="161"/>
    </font>
    <font>
      <b/>
      <u/>
      <sz val="10"/>
      <color indexed="60"/>
      <name val="Arial Greek"/>
      <charset val="161"/>
    </font>
    <font>
      <b/>
      <sz val="10"/>
      <color indexed="61"/>
      <name val="Arial Greek"/>
      <charset val="161"/>
    </font>
    <font>
      <b/>
      <i/>
      <u/>
      <sz val="7"/>
      <color indexed="10"/>
      <name val="Arial"/>
      <family val="2"/>
    </font>
    <font>
      <sz val="8"/>
      <name val="Times New Roman"/>
      <family val="1"/>
    </font>
    <font>
      <b/>
      <u/>
      <sz val="10"/>
      <color indexed="10"/>
      <name val="Arial"/>
      <family val="2"/>
    </font>
    <font>
      <b/>
      <u/>
      <sz val="10"/>
      <name val="Arial Greek"/>
      <family val="2"/>
      <charset val="161"/>
    </font>
    <font>
      <sz val="10"/>
      <name val="Arial Greek"/>
      <family val="2"/>
      <charset val="161"/>
    </font>
    <font>
      <b/>
      <sz val="10"/>
      <name val="Arial Greek"/>
      <family val="2"/>
      <charset val="161"/>
    </font>
    <font>
      <b/>
      <sz val="8"/>
      <color indexed="81"/>
      <name val="Tahoma"/>
      <charset val="161"/>
    </font>
    <font>
      <b/>
      <u/>
      <sz val="10"/>
      <color indexed="10"/>
      <name val="Arial Greek"/>
      <charset val="161"/>
    </font>
    <font>
      <b/>
      <sz val="8"/>
      <color indexed="14"/>
      <name val="Arial Greek"/>
      <charset val="161"/>
    </font>
    <font>
      <b/>
      <u/>
      <sz val="11"/>
      <color indexed="10"/>
      <name val="Arial"/>
      <family val="2"/>
    </font>
    <font>
      <sz val="9"/>
      <color indexed="10"/>
      <name val="Arial"/>
      <family val="2"/>
    </font>
    <font>
      <b/>
      <sz val="8"/>
      <name val="Times New Roman"/>
      <family val="1"/>
    </font>
    <font>
      <b/>
      <sz val="9"/>
      <color indexed="10"/>
      <name val="Times New Roman"/>
      <family val="1"/>
    </font>
    <font>
      <sz val="9"/>
      <color indexed="10"/>
      <name val="Arial Greek"/>
      <charset val="161"/>
    </font>
    <font>
      <u/>
      <sz val="10"/>
      <color indexed="10"/>
      <name val="Arial Greek"/>
      <charset val="161"/>
    </font>
    <font>
      <sz val="10"/>
      <color indexed="10"/>
      <name val="Arial Greek"/>
      <family val="2"/>
      <charset val="161"/>
    </font>
    <font>
      <sz val="8"/>
      <color indexed="18"/>
      <name val="Arial Greek"/>
      <charset val="161"/>
    </font>
    <font>
      <sz val="10"/>
      <color indexed="18"/>
      <name val="Arial Greek"/>
      <charset val="161"/>
    </font>
    <font>
      <sz val="10"/>
      <color indexed="18"/>
      <name val="Arial"/>
      <family val="2"/>
    </font>
    <font>
      <b/>
      <u/>
      <sz val="9"/>
      <name val="Arial Greek"/>
      <charset val="161"/>
    </font>
    <font>
      <b/>
      <u/>
      <sz val="12"/>
      <color indexed="10"/>
      <name val="Arial Greek"/>
      <charset val="161"/>
    </font>
    <font>
      <sz val="9"/>
      <name val="Arial Greek"/>
      <family val="2"/>
      <charset val="161"/>
    </font>
    <font>
      <b/>
      <u/>
      <sz val="9"/>
      <name val="Arial Greek"/>
      <family val="2"/>
      <charset val="161"/>
    </font>
    <font>
      <b/>
      <sz val="9"/>
      <color indexed="10"/>
      <name val="Arial Greek"/>
      <charset val="161"/>
    </font>
    <font>
      <sz val="9"/>
      <color indexed="9"/>
      <name val="Arial Greek"/>
      <charset val="161"/>
    </font>
    <font>
      <u/>
      <sz val="10"/>
      <name val="Arial Greek"/>
      <charset val="161"/>
    </font>
    <font>
      <b/>
      <u/>
      <sz val="10"/>
      <color indexed="61"/>
      <name val="Arial Greek"/>
      <charset val="161"/>
    </font>
    <font>
      <b/>
      <u/>
      <sz val="12"/>
      <name val="Arial"/>
      <family val="2"/>
      <charset val="161"/>
    </font>
    <font>
      <sz val="11"/>
      <name val="Arial"/>
      <family val="2"/>
      <charset val="161"/>
    </font>
    <font>
      <sz val="11"/>
      <name val="Arial Greek"/>
      <charset val="161"/>
    </font>
    <font>
      <sz val="10"/>
      <name val="Arial"/>
      <family val="2"/>
      <charset val="161"/>
    </font>
    <font>
      <sz val="9"/>
      <name val="Arial"/>
      <family val="2"/>
      <charset val="161"/>
    </font>
    <font>
      <sz val="12"/>
      <name val="Times New Roman"/>
      <family val="1"/>
      <charset val="161"/>
    </font>
    <font>
      <b/>
      <sz val="12"/>
      <name val="Times New Roman"/>
      <family val="1"/>
      <charset val="161"/>
    </font>
    <font>
      <u/>
      <sz val="10"/>
      <color indexed="8"/>
      <name val="Arial"/>
      <family val="2"/>
    </font>
    <font>
      <sz val="10"/>
      <color indexed="8"/>
      <name val="Arial"/>
      <family val="2"/>
    </font>
    <font>
      <b/>
      <u/>
      <sz val="10"/>
      <color indexed="52"/>
      <name val="Arial"/>
      <family val="2"/>
      <charset val="161"/>
    </font>
    <font>
      <b/>
      <u/>
      <sz val="10"/>
      <color indexed="17"/>
      <name val="Arial"/>
      <family val="2"/>
      <charset val="161"/>
    </font>
    <font>
      <i/>
      <u/>
      <sz val="10"/>
      <name val="Arial Greek"/>
      <charset val="161"/>
    </font>
    <font>
      <b/>
      <sz val="10"/>
      <color indexed="57"/>
      <name val="Arial Greek"/>
      <charset val="161"/>
    </font>
    <font>
      <b/>
      <sz val="8"/>
      <name val="Arial Greek"/>
      <charset val="161"/>
    </font>
    <font>
      <u/>
      <sz val="8"/>
      <name val="Arial Greek"/>
      <charset val="161"/>
    </font>
    <font>
      <b/>
      <sz val="8"/>
      <color indexed="10"/>
      <name val="Arial Greek"/>
      <charset val="161"/>
    </font>
    <font>
      <u/>
      <sz val="11"/>
      <name val="Arial Greek"/>
      <charset val="161"/>
    </font>
    <font>
      <b/>
      <i/>
      <u/>
      <sz val="10"/>
      <name val="Arial Greek"/>
      <family val="2"/>
      <charset val="161"/>
    </font>
  </fonts>
  <fills count="23">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50"/>
        <bgColor indexed="64"/>
      </patternFill>
    </fill>
    <fill>
      <patternFill patternType="solid">
        <fgColor indexed="57"/>
        <bgColor indexed="64"/>
      </patternFill>
    </fill>
    <fill>
      <patternFill patternType="solid">
        <fgColor indexed="13"/>
        <bgColor indexed="64"/>
      </patternFill>
    </fill>
    <fill>
      <patternFill patternType="solid">
        <fgColor indexed="14"/>
        <bgColor indexed="64"/>
      </patternFill>
    </fill>
    <fill>
      <patternFill patternType="solid">
        <fgColor indexed="52"/>
        <bgColor indexed="64"/>
      </patternFill>
    </fill>
    <fill>
      <patternFill patternType="solid">
        <fgColor indexed="11"/>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53"/>
        <bgColor indexed="64"/>
      </patternFill>
    </fill>
    <fill>
      <patternFill patternType="solid">
        <fgColor indexed="50"/>
        <bgColor indexed="35"/>
      </patternFill>
    </fill>
    <fill>
      <patternFill patternType="solid">
        <fgColor indexed="43"/>
        <bgColor indexed="64"/>
      </patternFill>
    </fill>
    <fill>
      <patternFill patternType="solid">
        <fgColor indexed="46"/>
        <bgColor indexed="64"/>
      </patternFill>
    </fill>
    <fill>
      <patternFill patternType="solid">
        <fgColor indexed="15"/>
        <bgColor indexed="64"/>
      </patternFill>
    </fill>
  </fills>
  <borders count="5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ck">
        <color indexed="64"/>
      </top>
      <bottom/>
      <diagonal/>
    </border>
    <border>
      <left style="double">
        <color indexed="64"/>
      </left>
      <right/>
      <top/>
      <bottom style="thick">
        <color indexed="64"/>
      </bottom>
      <diagonal/>
    </border>
    <border>
      <left style="double">
        <color indexed="64"/>
      </left>
      <right/>
      <top style="thick">
        <color indexed="64"/>
      </top>
      <bottom style="thick">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top style="thin">
        <color indexed="64"/>
      </top>
      <bottom style="thin">
        <color indexed="64"/>
      </bottom>
      <diagonal/>
    </border>
    <border>
      <left style="thin">
        <color indexed="64"/>
      </left>
      <right/>
      <top style="thin">
        <color indexed="64"/>
      </top>
      <bottom/>
      <diagonal/>
    </border>
    <border>
      <left style="thick">
        <color indexed="64"/>
      </left>
      <right style="thick">
        <color indexed="64"/>
      </right>
      <top/>
      <bottom style="thick">
        <color indexed="64"/>
      </bottom>
      <diagonal/>
    </border>
  </borders>
  <cellStyleXfs count="3">
    <xf numFmtId="0" fontId="0" fillId="0" borderId="0"/>
    <xf numFmtId="171" fontId="1" fillId="0" borderId="0" applyFont="0" applyFill="0" applyBorder="0" applyAlignment="0" applyProtection="0"/>
    <xf numFmtId="9" fontId="1" fillId="0" borderId="0" applyFont="0" applyFill="0" applyBorder="0" applyAlignment="0" applyProtection="0"/>
  </cellStyleXfs>
  <cellXfs count="632">
    <xf numFmtId="0" fontId="0" fillId="0" borderId="0" xfId="0"/>
    <xf numFmtId="0" fontId="3" fillId="0" borderId="0" xfId="0" applyFont="1"/>
    <xf numFmtId="0" fontId="5" fillId="0" borderId="0" xfId="0" applyFont="1"/>
    <xf numFmtId="0" fontId="5" fillId="0" borderId="0" xfId="0" applyFont="1" applyAlignment="1">
      <alignment vertical="center"/>
    </xf>
    <xf numFmtId="0" fontId="7" fillId="0" borderId="0" xfId="0" applyFont="1" applyAlignment="1">
      <alignment horizontal="justify" vertical="center"/>
    </xf>
    <xf numFmtId="0" fontId="5" fillId="0" borderId="0" xfId="0" applyFont="1" applyAlignment="1">
      <alignment horizontal="center"/>
    </xf>
    <xf numFmtId="0" fontId="5" fillId="0" borderId="0" xfId="0" applyFont="1" applyAlignment="1">
      <alignment horizontal="justify" vertical="center"/>
    </xf>
    <xf numFmtId="0" fontId="9" fillId="0" borderId="0" xfId="0" applyFont="1" applyAlignment="1">
      <alignment vertical="center"/>
    </xf>
    <xf numFmtId="0" fontId="9" fillId="0" borderId="0" xfId="0" applyFont="1"/>
    <xf numFmtId="0" fontId="2"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right" vertical="center"/>
    </xf>
    <xf numFmtId="0" fontId="9" fillId="0" borderId="0" xfId="0" applyFont="1" applyAlignment="1">
      <alignment horizontal="right" vertical="center"/>
    </xf>
    <xf numFmtId="0" fontId="5" fillId="0" borderId="0" xfId="0" applyFont="1" applyAlignment="1">
      <alignment horizontal="right"/>
    </xf>
    <xf numFmtId="0" fontId="0" fillId="2" borderId="0" xfId="0" applyFill="1"/>
    <xf numFmtId="0" fontId="0" fillId="3" borderId="0" xfId="0" applyFill="1" applyBorder="1"/>
    <xf numFmtId="0" fontId="0" fillId="3" borderId="0" xfId="0" applyFill="1" applyBorder="1" applyAlignment="1">
      <alignment horizontal="left" vertical="center"/>
    </xf>
    <xf numFmtId="0" fontId="0" fillId="0" borderId="0" xfId="0" applyBorder="1"/>
    <xf numFmtId="0" fontId="3" fillId="4" borderId="0" xfId="0" applyFont="1" applyFill="1" applyBorder="1"/>
    <xf numFmtId="0" fontId="0" fillId="4" borderId="0" xfId="0" applyFill="1" applyBorder="1"/>
    <xf numFmtId="0" fontId="4" fillId="4" borderId="1" xfId="0" applyFont="1" applyFill="1" applyBorder="1"/>
    <xf numFmtId="0" fontId="3" fillId="4" borderId="2" xfId="0" applyFont="1" applyFill="1" applyBorder="1"/>
    <xf numFmtId="0" fontId="3" fillId="4" borderId="3" xfId="0" applyFont="1" applyFill="1" applyBorder="1"/>
    <xf numFmtId="0" fontId="4" fillId="4" borderId="4" xfId="0" applyFont="1" applyFill="1" applyBorder="1"/>
    <xf numFmtId="0" fontId="3" fillId="4" borderId="5" xfId="0" applyFont="1" applyFill="1" applyBorder="1"/>
    <xf numFmtId="0" fontId="4" fillId="4" borderId="4" xfId="0" quotePrefix="1" applyFont="1" applyFill="1" applyBorder="1"/>
    <xf numFmtId="0" fontId="3" fillId="4" borderId="4" xfId="0" applyFont="1" applyFill="1" applyBorder="1"/>
    <xf numFmtId="0" fontId="0" fillId="4" borderId="4" xfId="0" applyFill="1" applyBorder="1"/>
    <xf numFmtId="0" fontId="0" fillId="4" borderId="5" xfId="0" applyFill="1" applyBorder="1"/>
    <xf numFmtId="0" fontId="4" fillId="3" borderId="1" xfId="0" applyFont="1"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3" fillId="3" borderId="4" xfId="0" applyFont="1" applyFill="1" applyBorder="1"/>
    <xf numFmtId="0" fontId="0" fillId="3" borderId="4" xfId="0" applyFill="1" applyBorder="1" applyAlignment="1">
      <alignment horizontal="left" vertical="center"/>
    </xf>
    <xf numFmtId="0" fontId="0" fillId="5" borderId="0" xfId="0" applyFill="1" applyBorder="1"/>
    <xf numFmtId="0" fontId="4" fillId="5" borderId="6" xfId="0" applyFont="1" applyFill="1" applyBorder="1"/>
    <xf numFmtId="0" fontId="3" fillId="5" borderId="7" xfId="0" applyFont="1" applyFill="1" applyBorder="1"/>
    <xf numFmtId="0" fontId="0" fillId="5" borderId="8" xfId="0" applyFill="1" applyBorder="1"/>
    <xf numFmtId="0" fontId="4" fillId="5" borderId="9" xfId="0" applyFont="1" applyFill="1" applyBorder="1"/>
    <xf numFmtId="0" fontId="3" fillId="5" borderId="0" xfId="0" applyFont="1" applyFill="1" applyBorder="1"/>
    <xf numFmtId="0" fontId="0" fillId="5" borderId="10" xfId="0" applyFill="1" applyBorder="1"/>
    <xf numFmtId="0" fontId="3" fillId="5" borderId="9" xfId="0" applyFont="1" applyFill="1" applyBorder="1"/>
    <xf numFmtId="0" fontId="0" fillId="5" borderId="9" xfId="0" applyFill="1" applyBorder="1"/>
    <xf numFmtId="0" fontId="23" fillId="2" borderId="0" xfId="0" applyFont="1" applyFill="1"/>
    <xf numFmtId="0" fontId="23" fillId="6" borderId="2" xfId="0" applyFont="1" applyFill="1" applyBorder="1"/>
    <xf numFmtId="0" fontId="23" fillId="6" borderId="3" xfId="0" applyFont="1" applyFill="1" applyBorder="1"/>
    <xf numFmtId="0" fontId="23" fillId="6" borderId="0" xfId="0" applyFont="1" applyFill="1" applyBorder="1"/>
    <xf numFmtId="0" fontId="23" fillId="6" borderId="5" xfId="0" applyFont="1" applyFill="1" applyBorder="1"/>
    <xf numFmtId="0" fontId="23" fillId="6" borderId="4" xfId="0" applyFont="1" applyFill="1" applyBorder="1"/>
    <xf numFmtId="0" fontId="23" fillId="6" borderId="11" xfId="0" applyFont="1" applyFill="1" applyBorder="1"/>
    <xf numFmtId="0" fontId="23" fillId="6" borderId="12" xfId="0" applyFont="1" applyFill="1" applyBorder="1"/>
    <xf numFmtId="0" fontId="23" fillId="6" borderId="13" xfId="0" applyFont="1" applyFill="1" applyBorder="1"/>
    <xf numFmtId="0" fontId="29" fillId="0" borderId="0" xfId="0" applyFont="1" applyAlignment="1">
      <alignment horizontal="justify"/>
    </xf>
    <xf numFmtId="0" fontId="9" fillId="0" borderId="0" xfId="0" applyFont="1" applyAlignment="1">
      <alignment horizontal="center" vertical="center"/>
    </xf>
    <xf numFmtId="0" fontId="3" fillId="2" borderId="14" xfId="0" applyFont="1" applyFill="1" applyBorder="1"/>
    <xf numFmtId="0" fontId="3" fillId="2" borderId="15" xfId="0" applyFont="1" applyFill="1" applyBorder="1"/>
    <xf numFmtId="0" fontId="3" fillId="2" borderId="16" xfId="0" applyFont="1" applyFill="1" applyBorder="1"/>
    <xf numFmtId="0" fontId="3" fillId="2" borderId="17" xfId="0" applyFont="1" applyFill="1" applyBorder="1"/>
    <xf numFmtId="0" fontId="34" fillId="5" borderId="18" xfId="0" applyFont="1" applyFill="1" applyBorder="1" applyAlignment="1">
      <alignment horizontal="center" vertical="top" wrapText="1"/>
    </xf>
    <xf numFmtId="0" fontId="34" fillId="5" borderId="19" xfId="0" applyFont="1" applyFill="1" applyBorder="1" applyAlignment="1">
      <alignment horizontal="center" vertical="top" wrapText="1"/>
    </xf>
    <xf numFmtId="3" fontId="32" fillId="5" borderId="20" xfId="1" applyNumberFormat="1" applyFont="1" applyFill="1" applyBorder="1" applyAlignment="1">
      <alignment horizontal="center"/>
    </xf>
    <xf numFmtId="3" fontId="32" fillId="5" borderId="15" xfId="1" applyNumberFormat="1" applyFont="1" applyFill="1" applyBorder="1" applyAlignment="1">
      <alignment horizontal="center"/>
    </xf>
    <xf numFmtId="10" fontId="32" fillId="5" borderId="15" xfId="2" applyNumberFormat="1" applyFont="1" applyFill="1" applyBorder="1" applyAlignment="1">
      <alignment horizontal="center"/>
    </xf>
    <xf numFmtId="1" fontId="32" fillId="5" borderId="15" xfId="0" applyNumberFormat="1" applyFont="1" applyFill="1" applyBorder="1" applyAlignment="1">
      <alignment horizontal="center"/>
    </xf>
    <xf numFmtId="3" fontId="32" fillId="5" borderId="21" xfId="1" applyNumberFormat="1" applyFont="1" applyFill="1" applyBorder="1" applyAlignment="1">
      <alignment horizontal="center"/>
    </xf>
    <xf numFmtId="10" fontId="32" fillId="5" borderId="22" xfId="2" applyNumberFormat="1" applyFont="1" applyFill="1" applyBorder="1" applyAlignment="1">
      <alignment horizontal="center"/>
    </xf>
    <xf numFmtId="3" fontId="32" fillId="5" borderId="22" xfId="1" applyNumberFormat="1" applyFont="1" applyFill="1" applyBorder="1" applyAlignment="1">
      <alignment horizontal="center"/>
    </xf>
    <xf numFmtId="1" fontId="32" fillId="5" borderId="22" xfId="0" applyNumberFormat="1" applyFont="1" applyFill="1" applyBorder="1" applyAlignment="1">
      <alignment horizontal="center"/>
    </xf>
    <xf numFmtId="0" fontId="1" fillId="7" borderId="0" xfId="0" applyFont="1" applyFill="1"/>
    <xf numFmtId="0" fontId="37" fillId="0" borderId="0" xfId="0" applyFont="1"/>
    <xf numFmtId="0" fontId="32" fillId="0" borderId="0" xfId="0" applyFont="1"/>
    <xf numFmtId="0" fontId="35" fillId="0" borderId="0" xfId="0" applyFont="1"/>
    <xf numFmtId="0" fontId="38" fillId="0" borderId="0" xfId="0" applyFont="1" applyAlignment="1">
      <alignment horizontal="center"/>
    </xf>
    <xf numFmtId="0" fontId="38" fillId="0" borderId="0" xfId="0" applyFont="1"/>
    <xf numFmtId="0" fontId="39" fillId="0" borderId="0" xfId="0" applyFont="1"/>
    <xf numFmtId="0" fontId="35" fillId="2" borderId="23" xfId="0" applyFont="1" applyFill="1" applyBorder="1" applyAlignment="1">
      <alignment horizontal="center" vertical="top" wrapText="1"/>
    </xf>
    <xf numFmtId="10" fontId="36" fillId="2" borderId="23" xfId="0" applyNumberFormat="1" applyFont="1" applyFill="1" applyBorder="1" applyAlignment="1">
      <alignment horizontal="center" wrapText="1"/>
    </xf>
    <xf numFmtId="0" fontId="36" fillId="2" borderId="23" xfId="0" applyFont="1" applyFill="1" applyBorder="1" applyAlignment="1">
      <alignment horizontal="center" wrapText="1"/>
    </xf>
    <xf numFmtId="0" fontId="36" fillId="2" borderId="23" xfId="0" applyFont="1" applyFill="1" applyBorder="1" applyAlignment="1">
      <alignment wrapText="1"/>
    </xf>
    <xf numFmtId="0" fontId="36" fillId="2" borderId="23" xfId="0" applyFont="1" applyFill="1" applyBorder="1" applyAlignment="1">
      <alignment horizontal="right" wrapText="1"/>
    </xf>
    <xf numFmtId="0" fontId="35" fillId="8" borderId="24" xfId="0" applyFont="1" applyFill="1" applyBorder="1" applyAlignment="1">
      <alignment horizontal="center" vertical="top" wrapText="1"/>
    </xf>
    <xf numFmtId="0" fontId="0" fillId="9" borderId="0" xfId="0" applyFill="1"/>
    <xf numFmtId="0" fontId="40" fillId="10" borderId="1" xfId="0" applyFont="1" applyFill="1" applyBorder="1"/>
    <xf numFmtId="0" fontId="41" fillId="10" borderId="2" xfId="0" applyFont="1" applyFill="1" applyBorder="1"/>
    <xf numFmtId="0" fontId="41" fillId="10" borderId="3" xfId="0" applyFont="1" applyFill="1" applyBorder="1"/>
    <xf numFmtId="0" fontId="40" fillId="10" borderId="4" xfId="0" applyFont="1" applyFill="1" applyBorder="1"/>
    <xf numFmtId="0" fontId="41" fillId="10" borderId="0" xfId="0" applyFont="1" applyFill="1" applyBorder="1"/>
    <xf numFmtId="0" fontId="41" fillId="10" borderId="5" xfId="0" applyFont="1" applyFill="1" applyBorder="1"/>
    <xf numFmtId="0" fontId="41" fillId="10" borderId="4" xfId="0" applyFont="1" applyFill="1" applyBorder="1"/>
    <xf numFmtId="0" fontId="41" fillId="10" borderId="11" xfId="0" applyFont="1" applyFill="1" applyBorder="1"/>
    <xf numFmtId="0" fontId="41" fillId="10" borderId="12" xfId="0" applyFont="1" applyFill="1" applyBorder="1"/>
    <xf numFmtId="0" fontId="41" fillId="10" borderId="13" xfId="0" applyFont="1" applyFill="1" applyBorder="1"/>
    <xf numFmtId="0" fontId="3" fillId="7" borderId="0" xfId="0" applyFont="1" applyFill="1"/>
    <xf numFmtId="0" fontId="3" fillId="7" borderId="0" xfId="0" applyFont="1" applyFill="1" applyAlignment="1">
      <alignment horizontal="right"/>
    </xf>
    <xf numFmtId="0" fontId="3" fillId="7" borderId="0" xfId="0" applyFont="1" applyFill="1" applyAlignment="1">
      <alignment horizontal="center"/>
    </xf>
    <xf numFmtId="0" fontId="46" fillId="7" borderId="0" xfId="0" applyFont="1" applyFill="1"/>
    <xf numFmtId="0" fontId="3" fillId="7" borderId="0" xfId="0" applyFont="1" applyFill="1" applyBorder="1"/>
    <xf numFmtId="0" fontId="44" fillId="7" borderId="0" xfId="0" applyFont="1" applyFill="1" applyAlignment="1">
      <alignment horizontal="justify" vertical="center"/>
    </xf>
    <xf numFmtId="3" fontId="3" fillId="7" borderId="0" xfId="1" applyNumberFormat="1" applyFont="1" applyFill="1" applyBorder="1" applyAlignment="1">
      <alignment horizontal="center"/>
    </xf>
    <xf numFmtId="0" fontId="44" fillId="7" borderId="4" xfId="0" applyFont="1" applyFill="1" applyBorder="1" applyAlignment="1">
      <alignment horizontal="justify" vertical="center"/>
    </xf>
    <xf numFmtId="0" fontId="49" fillId="2" borderId="25" xfId="0" applyFont="1" applyFill="1" applyBorder="1" applyAlignment="1">
      <alignment horizontal="justify" vertical="center"/>
    </xf>
    <xf numFmtId="0" fontId="44" fillId="2" borderId="25" xfId="0" applyFont="1" applyFill="1" applyBorder="1" applyAlignment="1">
      <alignment horizontal="justify" vertical="center" wrapText="1"/>
    </xf>
    <xf numFmtId="0" fontId="44" fillId="2" borderId="25" xfId="0" applyFont="1" applyFill="1" applyBorder="1" applyAlignment="1">
      <alignment horizontal="justify" vertical="center"/>
    </xf>
    <xf numFmtId="0" fontId="3" fillId="7" borderId="4" xfId="0" applyFont="1" applyFill="1" applyBorder="1"/>
    <xf numFmtId="0" fontId="3" fillId="7" borderId="5" xfId="0" applyFont="1" applyFill="1" applyBorder="1"/>
    <xf numFmtId="0" fontId="44" fillId="7" borderId="4" xfId="0" applyFont="1" applyFill="1" applyBorder="1" applyAlignment="1">
      <alignment horizontal="justify"/>
    </xf>
    <xf numFmtId="0" fontId="3" fillId="7" borderId="12" xfId="0" applyFont="1" applyFill="1" applyBorder="1"/>
    <xf numFmtId="0" fontId="3" fillId="7" borderId="13" xfId="0" applyFont="1" applyFill="1" applyBorder="1"/>
    <xf numFmtId="0" fontId="50" fillId="10" borderId="25" xfId="0" applyFont="1" applyFill="1" applyBorder="1" applyAlignment="1">
      <alignment horizontal="justify" vertical="center"/>
    </xf>
    <xf numFmtId="3" fontId="10" fillId="10" borderId="25" xfId="1" applyNumberFormat="1" applyFont="1" applyFill="1" applyBorder="1" applyAlignment="1">
      <alignment horizontal="center" vertical="center"/>
    </xf>
    <xf numFmtId="0" fontId="51" fillId="10" borderId="25" xfId="0" applyFont="1" applyFill="1" applyBorder="1" applyAlignment="1">
      <alignment horizontal="justify" vertical="center"/>
    </xf>
    <xf numFmtId="3" fontId="52" fillId="10" borderId="25" xfId="1" applyNumberFormat="1" applyFont="1" applyFill="1" applyBorder="1" applyAlignment="1">
      <alignment horizontal="center" vertical="center"/>
    </xf>
    <xf numFmtId="0" fontId="53" fillId="9" borderId="25" xfId="0" applyFont="1" applyFill="1" applyBorder="1" applyAlignment="1">
      <alignment horizontal="justify" vertical="center"/>
    </xf>
    <xf numFmtId="3" fontId="12" fillId="9" borderId="25" xfId="1" applyNumberFormat="1" applyFont="1" applyFill="1" applyBorder="1" applyAlignment="1">
      <alignment horizontal="center" vertical="center"/>
    </xf>
    <xf numFmtId="0" fontId="53" fillId="9" borderId="25" xfId="0" applyFont="1" applyFill="1" applyBorder="1" applyAlignment="1">
      <alignment horizontal="justify"/>
    </xf>
    <xf numFmtId="0" fontId="0" fillId="11" borderId="0" xfId="0" applyFill="1"/>
    <xf numFmtId="0" fontId="0" fillId="12" borderId="2" xfId="0" applyFill="1" applyBorder="1"/>
    <xf numFmtId="0" fontId="0" fillId="12" borderId="3" xfId="0" applyFill="1" applyBorder="1"/>
    <xf numFmtId="0" fontId="0" fillId="12" borderId="0" xfId="0" applyFill="1" applyBorder="1"/>
    <xf numFmtId="0" fontId="0" fillId="12" borderId="5" xfId="0" applyFill="1" applyBorder="1"/>
    <xf numFmtId="0" fontId="0" fillId="12" borderId="11" xfId="0" applyFill="1" applyBorder="1"/>
    <xf numFmtId="0" fontId="0" fillId="12" borderId="12" xfId="0" applyFill="1" applyBorder="1"/>
    <xf numFmtId="0" fontId="0" fillId="12" borderId="13" xfId="0" applyFill="1" applyBorder="1"/>
    <xf numFmtId="0" fontId="56" fillId="12" borderId="1" xfId="0" applyFont="1" applyFill="1" applyBorder="1"/>
    <xf numFmtId="0" fontId="55" fillId="12" borderId="2" xfId="0" applyFont="1" applyFill="1" applyBorder="1"/>
    <xf numFmtId="0" fontId="55" fillId="12" borderId="4" xfId="0" applyFont="1" applyFill="1" applyBorder="1"/>
    <xf numFmtId="0" fontId="55" fillId="12" borderId="0" xfId="0" applyFont="1" applyFill="1" applyBorder="1"/>
    <xf numFmtId="0" fontId="2" fillId="7" borderId="4" xfId="0" applyFont="1" applyFill="1" applyBorder="1"/>
    <xf numFmtId="0" fontId="0" fillId="7" borderId="0" xfId="0" applyFill="1" applyBorder="1"/>
    <xf numFmtId="0" fontId="2" fillId="5" borderId="4" xfId="0" applyFont="1" applyFill="1" applyBorder="1"/>
    <xf numFmtId="0" fontId="0" fillId="5" borderId="5" xfId="0" applyFill="1" applyBorder="1"/>
    <xf numFmtId="0" fontId="0" fillId="5" borderId="4" xfId="0" applyFill="1" applyBorder="1"/>
    <xf numFmtId="0" fontId="2" fillId="4" borderId="4" xfId="0" applyFont="1" applyFill="1" applyBorder="1"/>
    <xf numFmtId="0" fontId="2" fillId="13" borderId="4" xfId="0" applyFont="1" applyFill="1" applyBorder="1"/>
    <xf numFmtId="0" fontId="0" fillId="13" borderId="0" xfId="0" applyFill="1" applyBorder="1"/>
    <xf numFmtId="0" fontId="0" fillId="13" borderId="4" xfId="0" applyFill="1" applyBorder="1"/>
    <xf numFmtId="0" fontId="2" fillId="9" borderId="4" xfId="0" applyFont="1" applyFill="1" applyBorder="1"/>
    <xf numFmtId="0" fontId="0" fillId="9" borderId="0" xfId="0" applyFill="1" applyBorder="1"/>
    <xf numFmtId="0" fontId="0" fillId="9" borderId="4" xfId="0" applyFill="1" applyBorder="1"/>
    <xf numFmtId="0" fontId="42" fillId="7" borderId="25" xfId="0" applyFont="1" applyFill="1" applyBorder="1" applyAlignment="1">
      <alignment horizontal="center"/>
    </xf>
    <xf numFmtId="0" fontId="4" fillId="7" borderId="25" xfId="0" applyFont="1" applyFill="1" applyBorder="1" applyAlignment="1">
      <alignment horizontal="center"/>
    </xf>
    <xf numFmtId="0" fontId="43" fillId="7" borderId="25" xfId="0" applyFont="1" applyFill="1" applyBorder="1" applyAlignment="1">
      <alignment horizontal="center"/>
    </xf>
    <xf numFmtId="0" fontId="3" fillId="7" borderId="25" xfId="0" applyFont="1" applyFill="1" applyBorder="1" applyAlignment="1">
      <alignment horizontal="center"/>
    </xf>
    <xf numFmtId="3" fontId="1" fillId="0" borderId="25" xfId="1" applyNumberFormat="1" applyFont="1" applyBorder="1" applyAlignment="1">
      <alignment horizontal="center"/>
    </xf>
    <xf numFmtId="0" fontId="44" fillId="7" borderId="25" xfId="0" applyFont="1" applyFill="1" applyBorder="1" applyAlignment="1">
      <alignment horizontal="center" vertical="top" wrapText="1"/>
    </xf>
    <xf numFmtId="0" fontId="43" fillId="7" borderId="25" xfId="0" applyFont="1" applyFill="1" applyBorder="1" applyAlignment="1"/>
    <xf numFmtId="0" fontId="3" fillId="7" borderId="25" xfId="0" applyFont="1" applyFill="1" applyBorder="1"/>
    <xf numFmtId="0" fontId="45" fillId="7" borderId="25" xfId="0" applyFont="1" applyFill="1" applyBorder="1" applyAlignment="1">
      <alignment horizontal="center"/>
    </xf>
    <xf numFmtId="0" fontId="58" fillId="2" borderId="25" xfId="0" applyFont="1" applyFill="1" applyBorder="1" applyAlignment="1">
      <alignment horizontal="justify" vertical="center"/>
    </xf>
    <xf numFmtId="0" fontId="16" fillId="0" borderId="0" xfId="0" applyFont="1" applyAlignment="1">
      <alignment horizontal="center"/>
    </xf>
    <xf numFmtId="0" fontId="44" fillId="2" borderId="15" xfId="0" applyFont="1" applyFill="1" applyBorder="1" applyAlignment="1">
      <alignment horizontal="center" vertical="top" wrapText="1"/>
    </xf>
    <xf numFmtId="0" fontId="44" fillId="2" borderId="15" xfId="0" applyFont="1" applyFill="1" applyBorder="1" applyAlignment="1">
      <alignment vertical="top" wrapText="1"/>
    </xf>
    <xf numFmtId="14" fontId="44" fillId="2" borderId="15" xfId="0" applyNumberFormat="1" applyFont="1" applyFill="1" applyBorder="1" applyAlignment="1">
      <alignment horizontal="center" vertical="top" wrapText="1"/>
    </xf>
    <xf numFmtId="0" fontId="44" fillId="2" borderId="15" xfId="0" quotePrefix="1" applyFont="1" applyFill="1" applyBorder="1" applyAlignment="1">
      <alignment horizontal="center" vertical="top" wrapText="1"/>
    </xf>
    <xf numFmtId="0" fontId="3" fillId="0" borderId="0" xfId="0" applyFont="1" applyAlignment="1">
      <alignment horizontal="center"/>
    </xf>
    <xf numFmtId="0" fontId="59" fillId="2" borderId="15" xfId="0" applyFont="1" applyFill="1" applyBorder="1" applyAlignment="1">
      <alignment wrapText="1"/>
    </xf>
    <xf numFmtId="0" fontId="59" fillId="2" borderId="15" xfId="0" quotePrefix="1" applyFont="1" applyFill="1" applyBorder="1" applyAlignment="1">
      <alignment horizontal="center" wrapText="1"/>
    </xf>
    <xf numFmtId="0" fontId="59" fillId="2" borderId="15" xfId="0" quotePrefix="1" applyFont="1" applyFill="1" applyBorder="1" applyAlignment="1">
      <alignment wrapText="1"/>
    </xf>
    <xf numFmtId="0" fontId="48" fillId="7" borderId="15" xfId="0" applyFont="1" applyFill="1" applyBorder="1" applyAlignment="1">
      <alignment horizontal="center" vertical="top" wrapText="1"/>
    </xf>
    <xf numFmtId="0" fontId="44" fillId="7" borderId="15" xfId="0" applyFont="1" applyFill="1" applyBorder="1" applyAlignment="1">
      <alignment horizontal="center" vertical="top" wrapText="1"/>
    </xf>
    <xf numFmtId="9" fontId="44" fillId="7" borderId="15" xfId="0" applyNumberFormat="1" applyFont="1" applyFill="1" applyBorder="1" applyAlignment="1">
      <alignment horizontal="center" vertical="top" wrapText="1"/>
    </xf>
    <xf numFmtId="0" fontId="59" fillId="7" borderId="15" xfId="0" applyFont="1" applyFill="1" applyBorder="1" applyAlignment="1">
      <alignment horizontal="center" vertical="top" wrapText="1"/>
    </xf>
    <xf numFmtId="9" fontId="59" fillId="7" borderId="15" xfId="0" applyNumberFormat="1" applyFont="1" applyFill="1" applyBorder="1" applyAlignment="1">
      <alignment horizontal="center" vertical="top" wrapText="1"/>
    </xf>
    <xf numFmtId="0" fontId="3" fillId="0" borderId="15" xfId="0" applyFont="1" applyBorder="1"/>
    <xf numFmtId="0" fontId="5" fillId="0" borderId="26" xfId="0" applyFont="1" applyBorder="1"/>
    <xf numFmtId="0" fontId="29" fillId="0" borderId="27" xfId="0" applyFont="1" applyBorder="1"/>
    <xf numFmtId="0" fontId="5" fillId="0" borderId="15" xfId="0" applyFont="1" applyBorder="1"/>
    <xf numFmtId="0" fontId="5" fillId="0" borderId="0" xfId="0" applyFont="1" applyBorder="1"/>
    <xf numFmtId="0" fontId="8" fillId="2" borderId="28" xfId="0" applyFont="1" applyFill="1" applyBorder="1" applyAlignment="1">
      <alignment horizontal="center"/>
    </xf>
    <xf numFmtId="178" fontId="5" fillId="2" borderId="15" xfId="1" applyNumberFormat="1" applyFont="1" applyFill="1" applyBorder="1"/>
    <xf numFmtId="0" fontId="8" fillId="0" borderId="27" xfId="0" applyFont="1" applyBorder="1" applyAlignment="1">
      <alignment horizontal="center"/>
    </xf>
    <xf numFmtId="0" fontId="5" fillId="0" borderId="6" xfId="0" applyFont="1" applyBorder="1"/>
    <xf numFmtId="1" fontId="5" fillId="14" borderId="8" xfId="0" applyNumberFormat="1" applyFont="1" applyFill="1" applyBorder="1"/>
    <xf numFmtId="0" fontId="5" fillId="0" borderId="29" xfId="0" applyFont="1" applyBorder="1"/>
    <xf numFmtId="1" fontId="5" fillId="8" borderId="30" xfId="0" applyNumberFormat="1" applyFont="1" applyFill="1" applyBorder="1"/>
    <xf numFmtId="0" fontId="7" fillId="2" borderId="31"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0" borderId="15" xfId="0" applyFont="1" applyBorder="1" applyAlignment="1">
      <alignment horizontal="center"/>
    </xf>
    <xf numFmtId="0" fontId="5" fillId="2" borderId="32" xfId="0" applyFont="1" applyFill="1" applyBorder="1" applyAlignment="1">
      <alignment horizontal="center"/>
    </xf>
    <xf numFmtId="178" fontId="5" fillId="2" borderId="15" xfId="1" applyNumberFormat="1" applyFont="1" applyFill="1" applyBorder="1" applyAlignment="1">
      <alignment horizontal="center"/>
    </xf>
    <xf numFmtId="0" fontId="5" fillId="8" borderId="32" xfId="0" applyFont="1" applyFill="1" applyBorder="1" applyAlignment="1">
      <alignment horizontal="center"/>
    </xf>
    <xf numFmtId="178" fontId="5" fillId="8" borderId="15" xfId="1" applyNumberFormat="1" applyFont="1" applyFill="1" applyBorder="1" applyAlignment="1">
      <alignment horizontal="center"/>
    </xf>
    <xf numFmtId="0" fontId="5" fillId="0" borderId="27" xfId="0" applyFont="1" applyBorder="1"/>
    <xf numFmtId="178" fontId="5" fillId="8" borderId="15" xfId="1" applyNumberFormat="1" applyFont="1" applyFill="1" applyBorder="1"/>
    <xf numFmtId="0" fontId="61" fillId="0" borderId="0" xfId="0" applyFont="1"/>
    <xf numFmtId="0" fontId="62" fillId="0" borderId="0" xfId="0" applyFont="1"/>
    <xf numFmtId="0" fontId="63" fillId="0" borderId="0" xfId="0" quotePrefix="1" applyFont="1" applyAlignment="1">
      <alignment horizontal="left"/>
    </xf>
    <xf numFmtId="1" fontId="62" fillId="0" borderId="0" xfId="0" applyNumberFormat="1" applyFont="1"/>
    <xf numFmtId="0" fontId="7" fillId="5" borderId="0" xfId="0" applyFont="1" applyFill="1"/>
    <xf numFmtId="0" fontId="66" fillId="7" borderId="25" xfId="0" applyFont="1" applyFill="1" applyBorder="1" applyAlignment="1">
      <alignment horizontal="center"/>
    </xf>
    <xf numFmtId="0" fontId="60" fillId="7" borderId="1" xfId="0" applyFont="1" applyFill="1" applyBorder="1" applyAlignment="1">
      <alignment horizontal="left"/>
    </xf>
    <xf numFmtId="0" fontId="11" fillId="7" borderId="2" xfId="0" applyFont="1" applyFill="1" applyBorder="1"/>
    <xf numFmtId="0" fontId="11" fillId="7" borderId="3" xfId="0" applyFont="1" applyFill="1" applyBorder="1"/>
    <xf numFmtId="0" fontId="67" fillId="7" borderId="1" xfId="0" applyFont="1" applyFill="1" applyBorder="1" applyAlignment="1">
      <alignment horizontal="justify" vertical="top" wrapText="1"/>
    </xf>
    <xf numFmtId="0" fontId="5" fillId="15" borderId="25" xfId="0" applyFont="1" applyFill="1" applyBorder="1" applyAlignment="1">
      <alignment horizontal="justify" vertical="top" wrapText="1"/>
    </xf>
    <xf numFmtId="0" fontId="7" fillId="15" borderId="25" xfId="0" applyFont="1" applyFill="1" applyBorder="1" applyAlignment="1">
      <alignment horizontal="center" vertical="top" wrapText="1"/>
    </xf>
    <xf numFmtId="0" fontId="35" fillId="15" borderId="25" xfId="0" applyFont="1" applyFill="1" applyBorder="1" applyAlignment="1">
      <alignment horizontal="justify" vertical="top" wrapText="1"/>
    </xf>
    <xf numFmtId="0" fontId="5" fillId="15" borderId="25" xfId="0" applyFont="1" applyFill="1" applyBorder="1" applyAlignment="1">
      <alignment horizontal="center" vertical="top" wrapText="1"/>
    </xf>
    <xf numFmtId="0" fontId="35" fillId="15" borderId="25" xfId="0" quotePrefix="1" applyFont="1" applyFill="1" applyBorder="1" applyAlignment="1">
      <alignment horizontal="justify" vertical="top" wrapText="1"/>
    </xf>
    <xf numFmtId="0" fontId="35" fillId="15" borderId="25" xfId="0" quotePrefix="1" applyFont="1" applyFill="1" applyBorder="1" applyAlignment="1">
      <alignment horizontal="left" vertical="center" wrapText="1"/>
    </xf>
    <xf numFmtId="0" fontId="44" fillId="2" borderId="15" xfId="0" applyFont="1" applyFill="1" applyBorder="1" applyAlignment="1">
      <alignment vertical="center"/>
    </xf>
    <xf numFmtId="0" fontId="10" fillId="0" borderId="0" xfId="0" applyFont="1"/>
    <xf numFmtId="0" fontId="70" fillId="5" borderId="19" xfId="0" applyFont="1" applyFill="1" applyBorder="1" applyAlignment="1">
      <alignment horizontal="center" vertical="top"/>
    </xf>
    <xf numFmtId="3" fontId="71" fillId="5" borderId="15" xfId="1" applyNumberFormat="1" applyFont="1" applyFill="1" applyBorder="1" applyAlignment="1">
      <alignment horizontal="center"/>
    </xf>
    <xf numFmtId="0" fontId="69" fillId="16" borderId="20" xfId="0" applyFont="1" applyFill="1" applyBorder="1" applyAlignment="1">
      <alignment horizontal="center" vertical="top" wrapText="1"/>
    </xf>
    <xf numFmtId="0" fontId="69" fillId="16" borderId="15" xfId="0" applyFont="1" applyFill="1" applyBorder="1" applyAlignment="1">
      <alignment horizontal="center" vertical="top" wrapText="1"/>
    </xf>
    <xf numFmtId="0" fontId="69" fillId="7" borderId="15" xfId="0" applyFont="1" applyFill="1" applyBorder="1" applyAlignment="1">
      <alignment horizontal="center" vertical="top" wrapText="1"/>
    </xf>
    <xf numFmtId="0" fontId="32" fillId="0" borderId="0" xfId="0" applyFont="1" applyAlignment="1">
      <alignment horizontal="center"/>
    </xf>
    <xf numFmtId="0" fontId="72" fillId="0" borderId="0" xfId="0" applyFont="1"/>
    <xf numFmtId="0" fontId="73" fillId="0" borderId="0" xfId="0" applyFont="1"/>
    <xf numFmtId="1" fontId="76" fillId="16" borderId="8" xfId="0" applyNumberFormat="1" applyFont="1" applyFill="1" applyBorder="1"/>
    <xf numFmtId="1" fontId="5" fillId="16" borderId="30" xfId="0" applyNumberFormat="1" applyFont="1" applyFill="1" applyBorder="1"/>
    <xf numFmtId="0" fontId="2" fillId="0" borderId="0" xfId="0" applyFont="1" applyAlignment="1">
      <alignment horizontal="left" vertical="center"/>
    </xf>
    <xf numFmtId="9" fontId="44" fillId="2" borderId="33" xfId="0" quotePrefix="1" applyNumberFormat="1" applyFont="1" applyFill="1" applyBorder="1" applyAlignment="1">
      <alignment horizontal="center" vertical="center"/>
    </xf>
    <xf numFmtId="0" fontId="7" fillId="11" borderId="25" xfId="0" applyFont="1" applyFill="1" applyBorder="1" applyAlignment="1">
      <alignment horizontal="center" vertical="top" wrapText="1"/>
    </xf>
    <xf numFmtId="9" fontId="5" fillId="11" borderId="25" xfId="0" applyNumberFormat="1" applyFont="1" applyFill="1" applyBorder="1" applyAlignment="1">
      <alignment horizontal="center" vertical="top" wrapText="1"/>
    </xf>
    <xf numFmtId="0" fontId="7" fillId="12" borderId="25" xfId="0" applyFont="1" applyFill="1" applyBorder="1" applyAlignment="1">
      <alignment horizontal="center" vertical="top" wrapText="1"/>
    </xf>
    <xf numFmtId="9" fontId="5" fillId="12" borderId="25" xfId="0" applyNumberFormat="1" applyFont="1" applyFill="1" applyBorder="1" applyAlignment="1">
      <alignment horizontal="center" vertical="top" wrapText="1"/>
    </xf>
    <xf numFmtId="172" fontId="5" fillId="2" borderId="15" xfId="1" applyNumberFormat="1" applyFont="1" applyFill="1" applyBorder="1"/>
    <xf numFmtId="0" fontId="7" fillId="0" borderId="0" xfId="0" applyFont="1" applyBorder="1" applyAlignment="1">
      <alignment horizontal="left" vertical="center"/>
    </xf>
    <xf numFmtId="1" fontId="5" fillId="7" borderId="8" xfId="0" applyNumberFormat="1" applyFont="1" applyFill="1" applyBorder="1"/>
    <xf numFmtId="1" fontId="5" fillId="15" borderId="30" xfId="0" applyNumberFormat="1" applyFont="1" applyFill="1" applyBorder="1"/>
    <xf numFmtId="0" fontId="5" fillId="15" borderId="32" xfId="0" applyFont="1" applyFill="1" applyBorder="1" applyAlignment="1">
      <alignment horizontal="center"/>
    </xf>
    <xf numFmtId="178" fontId="5" fillId="15" borderId="15" xfId="1" applyNumberFormat="1" applyFont="1" applyFill="1" applyBorder="1"/>
    <xf numFmtId="0" fontId="77" fillId="0" borderId="1" xfId="0" applyFont="1" applyBorder="1"/>
    <xf numFmtId="0" fontId="32" fillId="0" borderId="2" xfId="0" applyFont="1" applyBorder="1"/>
    <xf numFmtId="0" fontId="32" fillId="0" borderId="3" xfId="0" applyFont="1" applyBorder="1"/>
    <xf numFmtId="0" fontId="32" fillId="0" borderId="4" xfId="0" applyFont="1" applyBorder="1"/>
    <xf numFmtId="0" fontId="32" fillId="0" borderId="0" xfId="0" applyFont="1" applyBorder="1"/>
    <xf numFmtId="0" fontId="32" fillId="0" borderId="5" xfId="0" applyFont="1" applyBorder="1"/>
    <xf numFmtId="0" fontId="77" fillId="0" borderId="0" xfId="0" applyFont="1" applyBorder="1" applyAlignment="1">
      <alignment horizontal="center"/>
    </xf>
    <xf numFmtId="0" fontId="77" fillId="0" borderId="5" xfId="0" applyFont="1" applyBorder="1" applyAlignment="1">
      <alignment horizontal="center"/>
    </xf>
    <xf numFmtId="0" fontId="32" fillId="0" borderId="0" xfId="0" applyFont="1" applyBorder="1" applyAlignment="1">
      <alignment horizontal="center"/>
    </xf>
    <xf numFmtId="0" fontId="32" fillId="0" borderId="5" xfId="0" applyFont="1" applyBorder="1" applyAlignment="1">
      <alignment horizontal="center"/>
    </xf>
    <xf numFmtId="0" fontId="71" fillId="0" borderId="4" xfId="0" applyFont="1" applyBorder="1"/>
    <xf numFmtId="0" fontId="32" fillId="0" borderId="11" xfId="0" applyFont="1" applyBorder="1"/>
    <xf numFmtId="0" fontId="32" fillId="0" borderId="12" xfId="0" applyFont="1" applyBorder="1" applyAlignment="1">
      <alignment horizontal="center"/>
    </xf>
    <xf numFmtId="0" fontId="32" fillId="0" borderId="13"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3" fillId="0" borderId="2" xfId="0" applyFont="1" applyBorder="1"/>
    <xf numFmtId="0" fontId="3" fillId="0" borderId="3" xfId="0" applyFont="1" applyBorder="1"/>
    <xf numFmtId="0" fontId="3" fillId="0" borderId="4" xfId="0" applyFont="1" applyBorder="1" applyAlignment="1">
      <alignment horizontal="right"/>
    </xf>
    <xf numFmtId="3" fontId="3" fillId="0" borderId="0" xfId="1" applyNumberFormat="1" applyFont="1" applyBorder="1" applyAlignment="1">
      <alignment horizontal="center" wrapText="1"/>
    </xf>
    <xf numFmtId="0" fontId="3" fillId="0" borderId="0" xfId="0" applyFont="1" applyBorder="1" applyAlignment="1">
      <alignment horizontal="right"/>
    </xf>
    <xf numFmtId="3" fontId="3" fillId="0" borderId="0" xfId="0" applyNumberFormat="1" applyFont="1" applyBorder="1" applyAlignment="1">
      <alignment horizontal="center"/>
    </xf>
    <xf numFmtId="0" fontId="3" fillId="0" borderId="0" xfId="0" applyFont="1" applyBorder="1"/>
    <xf numFmtId="0" fontId="3" fillId="0" borderId="5" xfId="0" applyFont="1" applyBorder="1"/>
    <xf numFmtId="3" fontId="3" fillId="0" borderId="0" xfId="1" applyNumberFormat="1" applyFont="1" applyBorder="1" applyAlignment="1">
      <alignment horizontal="center"/>
    </xf>
    <xf numFmtId="0" fontId="3" fillId="0" borderId="4" xfId="0" applyFont="1" applyBorder="1"/>
    <xf numFmtId="0" fontId="4" fillId="10" borderId="4" xfId="0" applyFont="1" applyFill="1" applyBorder="1"/>
    <xf numFmtId="0" fontId="4" fillId="0" borderId="0" xfId="0" applyFont="1" applyBorder="1" applyAlignment="1">
      <alignment horizontal="center"/>
    </xf>
    <xf numFmtId="0" fontId="4" fillId="0" borderId="5"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3" fontId="3" fillId="0" borderId="5" xfId="1" applyNumberFormat="1" applyFont="1" applyBorder="1" applyAlignment="1">
      <alignment horizontal="center" wrapText="1"/>
    </xf>
    <xf numFmtId="0" fontId="4" fillId="0" borderId="4" xfId="0" applyFont="1" applyBorder="1"/>
    <xf numFmtId="14" fontId="4" fillId="0" borderId="0" xfId="0" applyNumberFormat="1" applyFont="1" applyBorder="1" applyAlignment="1">
      <alignment horizontal="center"/>
    </xf>
    <xf numFmtId="0" fontId="3" fillId="0" borderId="4" xfId="0" applyFont="1" applyBorder="1" applyAlignment="1">
      <alignment horizontal="left"/>
    </xf>
    <xf numFmtId="0" fontId="3" fillId="0" borderId="11" xfId="0" applyFont="1" applyBorder="1" applyAlignment="1">
      <alignment horizontal="left"/>
    </xf>
    <xf numFmtId="3" fontId="3" fillId="0" borderId="12" xfId="1" applyNumberFormat="1" applyFont="1" applyBorder="1" applyAlignment="1">
      <alignment horizontal="center" wrapText="1"/>
    </xf>
    <xf numFmtId="3" fontId="3" fillId="0" borderId="13" xfId="1" applyNumberFormat="1" applyFont="1" applyBorder="1" applyAlignment="1">
      <alignment horizontal="center" wrapText="1"/>
    </xf>
    <xf numFmtId="3" fontId="3" fillId="0" borderId="0" xfId="0" applyNumberFormat="1" applyFont="1"/>
    <xf numFmtId="3" fontId="3" fillId="0" borderId="0" xfId="1" applyNumberFormat="1" applyFont="1"/>
    <xf numFmtId="0" fontId="37" fillId="15" borderId="25" xfId="0" applyFont="1" applyFill="1" applyBorder="1" applyAlignment="1">
      <alignment horizontal="center"/>
    </xf>
    <xf numFmtId="0" fontId="37" fillId="15" borderId="25" xfId="0" quotePrefix="1" applyFont="1" applyFill="1" applyBorder="1" applyAlignment="1">
      <alignment horizontal="left"/>
    </xf>
    <xf numFmtId="0" fontId="78" fillId="15" borderId="25" xfId="0" applyFont="1" applyFill="1" applyBorder="1"/>
    <xf numFmtId="0" fontId="79" fillId="0" borderId="0" xfId="0" applyFont="1"/>
    <xf numFmtId="0" fontId="71" fillId="15" borderId="25" xfId="0" applyFont="1" applyFill="1" applyBorder="1" applyAlignment="1">
      <alignment horizontal="center"/>
    </xf>
    <xf numFmtId="180" fontId="71" fillId="15" borderId="25" xfId="0" applyNumberFormat="1" applyFont="1" applyFill="1" applyBorder="1" applyAlignment="1">
      <alignment horizontal="center"/>
    </xf>
    <xf numFmtId="0" fontId="71" fillId="15" borderId="25" xfId="0" applyFont="1" applyFill="1" applyBorder="1"/>
    <xf numFmtId="0" fontId="80" fillId="0" borderId="0" xfId="0" applyFont="1"/>
    <xf numFmtId="0" fontId="81" fillId="15" borderId="25" xfId="0" applyFont="1" applyFill="1" applyBorder="1" applyAlignment="1">
      <alignment horizontal="center"/>
    </xf>
    <xf numFmtId="0" fontId="77" fillId="0" borderId="0" xfId="0" applyFont="1"/>
    <xf numFmtId="180" fontId="71" fillId="15" borderId="25" xfId="1" applyNumberFormat="1" applyFont="1" applyFill="1" applyBorder="1" applyAlignment="1">
      <alignment horizontal="center"/>
    </xf>
    <xf numFmtId="180" fontId="71" fillId="15" borderId="25" xfId="1" quotePrefix="1" applyNumberFormat="1" applyFont="1" applyFill="1" applyBorder="1" applyAlignment="1"/>
    <xf numFmtId="0" fontId="79" fillId="0" borderId="0" xfId="0" quotePrefix="1" applyFont="1"/>
    <xf numFmtId="0" fontId="71" fillId="15" borderId="25" xfId="0" quotePrefix="1" applyFont="1" applyFill="1" applyBorder="1" applyAlignment="1"/>
    <xf numFmtId="0" fontId="79" fillId="0" borderId="34" xfId="0" applyFont="1" applyBorder="1"/>
    <xf numFmtId="2" fontId="71" fillId="15" borderId="25" xfId="0" applyNumberFormat="1" applyFont="1" applyFill="1" applyBorder="1" applyAlignment="1">
      <alignment horizontal="center"/>
    </xf>
    <xf numFmtId="0" fontId="82" fillId="2" borderId="15" xfId="0" quotePrefix="1" applyFont="1" applyFill="1" applyBorder="1"/>
    <xf numFmtId="0" fontId="71" fillId="15" borderId="35" xfId="0" applyFont="1" applyFill="1" applyBorder="1"/>
    <xf numFmtId="2" fontId="71" fillId="15" borderId="35" xfId="0" applyNumberFormat="1" applyFont="1" applyFill="1" applyBorder="1" applyAlignment="1">
      <alignment horizontal="center"/>
    </xf>
    <xf numFmtId="0" fontId="71" fillId="15" borderId="35" xfId="0" quotePrefix="1" applyFont="1" applyFill="1" applyBorder="1" applyAlignment="1"/>
    <xf numFmtId="0" fontId="79" fillId="0" borderId="26" xfId="0" quotePrefix="1" applyFont="1" applyBorder="1"/>
    <xf numFmtId="0" fontId="2" fillId="0" borderId="0" xfId="0" applyFont="1" applyAlignment="1"/>
    <xf numFmtId="0" fontId="83" fillId="0" borderId="0" xfId="0" applyFont="1"/>
    <xf numFmtId="15"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0" fontId="83" fillId="0" borderId="0" xfId="0" applyFont="1" applyAlignment="1">
      <alignment horizontal="center"/>
    </xf>
    <xf numFmtId="0" fontId="2" fillId="0" borderId="0" xfId="0" applyFont="1"/>
    <xf numFmtId="17" fontId="0" fillId="0" borderId="0" xfId="0" quotePrefix="1" applyNumberFormat="1" applyAlignment="1">
      <alignment horizontal="center"/>
    </xf>
    <xf numFmtId="10" fontId="0" fillId="0" borderId="0" xfId="0" applyNumberFormat="1" applyAlignment="1">
      <alignment horizontal="center"/>
    </xf>
    <xf numFmtId="9" fontId="0" fillId="0" borderId="0" xfId="0" applyNumberFormat="1" applyAlignment="1">
      <alignment horizontal="center"/>
    </xf>
    <xf numFmtId="0" fontId="84" fillId="0" borderId="0" xfId="0" applyFont="1"/>
    <xf numFmtId="181" fontId="0" fillId="0" borderId="0" xfId="0" applyNumberFormat="1" applyAlignment="1">
      <alignment horizontal="center"/>
    </xf>
    <xf numFmtId="0" fontId="2" fillId="7" borderId="25" xfId="0" applyFont="1" applyFill="1" applyBorder="1"/>
    <xf numFmtId="0" fontId="0" fillId="7" borderId="25" xfId="0" applyFill="1" applyBorder="1"/>
    <xf numFmtId="0" fontId="83" fillId="7" borderId="25" xfId="0" applyFont="1" applyFill="1" applyBorder="1" applyAlignment="1">
      <alignment horizontal="center"/>
    </xf>
    <xf numFmtId="17" fontId="0" fillId="7" borderId="25" xfId="0" quotePrefix="1" applyNumberFormat="1" applyFill="1" applyBorder="1" applyAlignment="1">
      <alignment horizontal="center"/>
    </xf>
    <xf numFmtId="1" fontId="0" fillId="7" borderId="25" xfId="0" applyNumberFormat="1" applyFill="1" applyBorder="1" applyAlignment="1">
      <alignment horizontal="center"/>
    </xf>
    <xf numFmtId="10" fontId="0" fillId="7" borderId="25" xfId="0" applyNumberFormat="1" applyFill="1" applyBorder="1" applyAlignment="1">
      <alignment horizontal="center"/>
    </xf>
    <xf numFmtId="0" fontId="0" fillId="7" borderId="25" xfId="0" applyFill="1" applyBorder="1" applyAlignment="1">
      <alignment horizontal="center"/>
    </xf>
    <xf numFmtId="10" fontId="65" fillId="7" borderId="25" xfId="0" applyNumberFormat="1" applyFont="1" applyFill="1" applyBorder="1"/>
    <xf numFmtId="9" fontId="0" fillId="7" borderId="25" xfId="0" applyNumberFormat="1" applyFill="1" applyBorder="1" applyAlignment="1">
      <alignment horizontal="center"/>
    </xf>
    <xf numFmtId="0" fontId="11" fillId="7" borderId="25" xfId="0" applyFont="1" applyFill="1" applyBorder="1" applyAlignment="1">
      <alignment horizontal="left"/>
    </xf>
    <xf numFmtId="0" fontId="65" fillId="0" borderId="0" xfId="0" applyFont="1"/>
    <xf numFmtId="0" fontId="0" fillId="0" borderId="0" xfId="0" applyNumberFormat="1"/>
    <xf numFmtId="0" fontId="11" fillId="0" borderId="0" xfId="0" applyNumberFormat="1" applyFont="1"/>
    <xf numFmtId="0" fontId="0" fillId="0" borderId="0" xfId="0" applyNumberFormat="1" applyAlignment="1">
      <alignment horizontal="center"/>
    </xf>
    <xf numFmtId="10" fontId="11" fillId="0" borderId="0" xfId="0" applyNumberFormat="1" applyFont="1" applyAlignment="1">
      <alignment horizontal="center"/>
    </xf>
    <xf numFmtId="0" fontId="85" fillId="0" borderId="0" xfId="0" applyFont="1" applyAlignment="1">
      <alignment vertical="center"/>
    </xf>
    <xf numFmtId="0" fontId="89" fillId="0" borderId="0" xfId="0" applyFont="1" applyAlignment="1">
      <alignment vertical="center"/>
    </xf>
    <xf numFmtId="3" fontId="0" fillId="7" borderId="15" xfId="0" applyNumberFormat="1" applyFill="1" applyBorder="1"/>
    <xf numFmtId="3" fontId="0" fillId="0" borderId="0" xfId="0" applyNumberFormat="1"/>
    <xf numFmtId="0" fontId="88" fillId="0" borderId="0" xfId="0" applyFont="1" applyAlignment="1">
      <alignment horizontal="center"/>
    </xf>
    <xf numFmtId="0" fontId="88" fillId="0" borderId="0" xfId="0" applyFont="1" applyBorder="1" applyAlignment="1">
      <alignment horizontal="center"/>
    </xf>
    <xf numFmtId="0" fontId="90" fillId="0" borderId="0" xfId="0" applyFont="1" applyBorder="1" applyAlignment="1">
      <alignment horizontal="justify" vertical="top" wrapText="1"/>
    </xf>
    <xf numFmtId="3" fontId="90" fillId="0" borderId="0" xfId="0" applyNumberFormat="1" applyFont="1" applyBorder="1" applyAlignment="1">
      <alignment horizontal="justify" vertical="top" wrapText="1"/>
    </xf>
    <xf numFmtId="0" fontId="91" fillId="0" borderId="0" xfId="0" applyFont="1" applyBorder="1" applyAlignment="1">
      <alignment horizontal="justify" vertical="top" wrapText="1"/>
    </xf>
    <xf numFmtId="3" fontId="91" fillId="0" borderId="0" xfId="0" applyNumberFormat="1" applyFont="1" applyBorder="1" applyAlignment="1">
      <alignment horizontal="justify" vertical="top" wrapText="1"/>
    </xf>
    <xf numFmtId="0" fontId="7" fillId="0" borderId="0" xfId="0" applyFont="1"/>
    <xf numFmtId="0" fontId="1" fillId="0" borderId="0" xfId="0" applyFont="1" applyAlignment="1">
      <alignment vertical="center" wrapText="1"/>
    </xf>
    <xf numFmtId="0" fontId="7" fillId="0" borderId="0" xfId="0" applyFont="1" applyAlignment="1">
      <alignment horizontal="justify"/>
    </xf>
    <xf numFmtId="0" fontId="8" fillId="0" borderId="0" xfId="0" applyFont="1" applyAlignment="1">
      <alignment horizontal="justify" vertical="center" wrapText="1"/>
    </xf>
    <xf numFmtId="0" fontId="7" fillId="15" borderId="0" xfId="0" applyFont="1" applyFill="1"/>
    <xf numFmtId="0" fontId="93" fillId="0" borderId="0" xfId="0" applyFont="1" applyAlignment="1">
      <alignment horizontal="center" vertical="top" wrapText="1"/>
    </xf>
    <xf numFmtId="0" fontId="1" fillId="0" borderId="0" xfId="0" applyFont="1" applyAlignment="1">
      <alignment vertical="center"/>
    </xf>
    <xf numFmtId="0" fontId="1" fillId="0" borderId="0" xfId="0" applyFont="1" applyAlignment="1">
      <alignment horizontal="center" vertical="center"/>
    </xf>
    <xf numFmtId="0" fontId="5" fillId="17" borderId="0" xfId="0" applyFont="1" applyFill="1" applyAlignment="1">
      <alignment horizontal="justify" vertical="center"/>
    </xf>
    <xf numFmtId="0" fontId="5" fillId="0" borderId="0" xfId="0" applyFont="1" applyAlignment="1">
      <alignment horizontal="center" vertical="center"/>
    </xf>
    <xf numFmtId="0" fontId="1" fillId="17" borderId="0" xfId="0" applyFont="1" applyFill="1" applyAlignment="1">
      <alignment vertical="center"/>
    </xf>
    <xf numFmtId="0" fontId="1" fillId="13" borderId="0" xfId="0" applyFont="1" applyFill="1"/>
    <xf numFmtId="0" fontId="1" fillId="0" borderId="0" xfId="0" applyFont="1"/>
    <xf numFmtId="0" fontId="7" fillId="0" borderId="0" xfId="0" applyFont="1" applyFill="1"/>
    <xf numFmtId="0" fontId="92" fillId="0" borderId="0" xfId="0" applyFont="1" applyAlignment="1">
      <alignment horizontal="center" vertical="top" wrapText="1"/>
    </xf>
    <xf numFmtId="0" fontId="93" fillId="0" borderId="0" xfId="0" applyFont="1" applyAlignment="1">
      <alignment vertical="top" wrapText="1"/>
    </xf>
    <xf numFmtId="14" fontId="93" fillId="0" borderId="0" xfId="0" applyNumberFormat="1" applyFont="1" applyAlignment="1">
      <alignment horizontal="center" vertical="top" wrapText="1"/>
    </xf>
    <xf numFmtId="0" fontId="5" fillId="0" borderId="0" xfId="0" applyFont="1" applyAlignment="1">
      <alignment horizontal="justify"/>
    </xf>
    <xf numFmtId="0" fontId="6" fillId="0" borderId="0" xfId="0" applyFont="1" applyAlignment="1">
      <alignment horizontal="center"/>
    </xf>
    <xf numFmtId="9" fontId="93" fillId="0" borderId="0" xfId="0" applyNumberFormat="1" applyFont="1" applyAlignment="1">
      <alignment horizontal="center" vertical="top" wrapText="1"/>
    </xf>
    <xf numFmtId="0" fontId="31" fillId="0" borderId="0" xfId="0" applyFont="1"/>
    <xf numFmtId="0" fontId="96" fillId="0" borderId="0" xfId="0" applyFont="1"/>
    <xf numFmtId="0" fontId="0" fillId="13" borderId="0" xfId="0" applyFill="1"/>
    <xf numFmtId="0" fontId="0" fillId="12" borderId="0" xfId="0" applyFill="1"/>
    <xf numFmtId="0" fontId="0" fillId="0" borderId="0" xfId="0" applyFill="1"/>
    <xf numFmtId="0" fontId="18" fillId="0" borderId="0" xfId="0" applyFont="1"/>
    <xf numFmtId="3" fontId="97" fillId="0" borderId="0" xfId="0" applyNumberFormat="1" applyFont="1" applyFill="1"/>
    <xf numFmtId="0" fontId="1" fillId="5" borderId="0" xfId="0" applyFont="1" applyFill="1"/>
    <xf numFmtId="0" fontId="1" fillId="5" borderId="4" xfId="0" applyFont="1" applyFill="1" applyBorder="1"/>
    <xf numFmtId="0" fontId="1" fillId="5" borderId="0" xfId="0" applyFont="1" applyFill="1" applyBorder="1"/>
    <xf numFmtId="0" fontId="1" fillId="5" borderId="5" xfId="0" applyFont="1" applyFill="1" applyBorder="1"/>
    <xf numFmtId="0" fontId="1" fillId="5" borderId="4" xfId="0" applyFont="1" applyFill="1" applyBorder="1" applyAlignment="1">
      <alignment wrapText="1"/>
    </xf>
    <xf numFmtId="0" fontId="1" fillId="5" borderId="0" xfId="0" applyFont="1" applyFill="1" applyBorder="1" applyAlignment="1">
      <alignment wrapText="1"/>
    </xf>
    <xf numFmtId="0" fontId="1" fillId="5" borderId="5" xfId="0" applyFont="1" applyFill="1" applyBorder="1" applyAlignment="1">
      <alignment wrapText="1"/>
    </xf>
    <xf numFmtId="0" fontId="11" fillId="0" borderId="0" xfId="0" applyFont="1"/>
    <xf numFmtId="3" fontId="11" fillId="0" borderId="0" xfId="0" applyNumberFormat="1" applyFont="1"/>
    <xf numFmtId="0" fontId="16"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98" fillId="0" borderId="0" xfId="0" applyFont="1" applyAlignment="1">
      <alignment horizontal="center"/>
    </xf>
    <xf numFmtId="0" fontId="99" fillId="0" borderId="0" xfId="0" applyFont="1" applyAlignment="1">
      <alignment horizontal="center"/>
    </xf>
    <xf numFmtId="0" fontId="99" fillId="0" borderId="0" xfId="0" applyFont="1"/>
    <xf numFmtId="183" fontId="3" fillId="0" borderId="0" xfId="0" applyNumberFormat="1" applyFont="1"/>
    <xf numFmtId="0" fontId="4" fillId="0" borderId="0" xfId="0" applyNumberFormat="1" applyFont="1" applyAlignment="1">
      <alignment horizontal="center"/>
    </xf>
    <xf numFmtId="0" fontId="100" fillId="7" borderId="0" xfId="0" applyFont="1" applyFill="1" applyAlignment="1">
      <alignment horizontal="center"/>
    </xf>
    <xf numFmtId="0" fontId="10" fillId="0" borderId="0" xfId="0" applyFont="1" applyAlignment="1">
      <alignment horizontal="center"/>
    </xf>
    <xf numFmtId="0" fontId="102" fillId="0" borderId="0" xfId="0" applyFont="1" applyAlignment="1">
      <alignment horizontal="center"/>
    </xf>
    <xf numFmtId="3" fontId="0" fillId="0" borderId="0" xfId="0" applyNumberFormat="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0" fontId="0" fillId="18" borderId="0" xfId="0" applyFill="1" applyAlignment="1">
      <alignment horizontal="center"/>
    </xf>
    <xf numFmtId="3" fontId="0" fillId="18" borderId="0" xfId="0" applyNumberFormat="1" applyFill="1" applyAlignment="1">
      <alignment horizontal="center"/>
    </xf>
    <xf numFmtId="0" fontId="0" fillId="12" borderId="0" xfId="0" applyFill="1" applyAlignment="1">
      <alignment horizontal="center"/>
    </xf>
    <xf numFmtId="3" fontId="0" fillId="12" borderId="0" xfId="0" applyNumberFormat="1" applyFill="1" applyAlignment="1">
      <alignment horizontal="center"/>
    </xf>
    <xf numFmtId="0" fontId="0" fillId="16" borderId="0" xfId="0" applyFill="1" applyAlignment="1">
      <alignment horizontal="center"/>
    </xf>
    <xf numFmtId="3" fontId="0" fillId="16" borderId="0" xfId="0" applyNumberFormat="1" applyFill="1" applyAlignment="1">
      <alignment horizontal="center"/>
    </xf>
    <xf numFmtId="0" fontId="57" fillId="9" borderId="33" xfId="0" applyFont="1" applyFill="1" applyBorder="1" applyAlignment="1">
      <alignment horizontal="center" vertical="center"/>
    </xf>
    <xf numFmtId="0" fontId="57" fillId="9" borderId="36" xfId="0" applyFont="1" applyFill="1" applyBorder="1" applyAlignment="1">
      <alignment horizontal="center" vertical="center"/>
    </xf>
    <xf numFmtId="0" fontId="57" fillId="9" borderId="37" xfId="0" applyFont="1" applyFill="1" applyBorder="1" applyAlignment="1">
      <alignment horizontal="center" vertical="center"/>
    </xf>
    <xf numFmtId="0" fontId="25" fillId="9" borderId="1" xfId="0" applyFont="1" applyFill="1" applyBorder="1" applyAlignment="1">
      <alignment vertical="center" wrapText="1"/>
    </xf>
    <xf numFmtId="0" fontId="25" fillId="9" borderId="2" xfId="0" applyFont="1" applyFill="1" applyBorder="1" applyAlignment="1">
      <alignment vertical="center" wrapText="1"/>
    </xf>
    <xf numFmtId="0" fontId="25" fillId="9" borderId="3" xfId="0" applyFont="1" applyFill="1" applyBorder="1" applyAlignment="1">
      <alignment vertical="center" wrapText="1"/>
    </xf>
    <xf numFmtId="0" fontId="25" fillId="9" borderId="4" xfId="0" applyFont="1" applyFill="1" applyBorder="1" applyAlignment="1">
      <alignment vertical="center" wrapText="1"/>
    </xf>
    <xf numFmtId="0" fontId="25" fillId="9" borderId="0" xfId="0" applyFont="1" applyFill="1" applyBorder="1" applyAlignment="1">
      <alignment vertical="center" wrapText="1"/>
    </xf>
    <xf numFmtId="0" fontId="25" fillId="9" borderId="5" xfId="0" applyFont="1" applyFill="1" applyBorder="1" applyAlignment="1">
      <alignment vertical="center" wrapText="1"/>
    </xf>
    <xf numFmtId="0" fontId="25" fillId="9" borderId="11" xfId="0" applyFont="1" applyFill="1" applyBorder="1" applyAlignment="1">
      <alignment vertical="center" wrapText="1"/>
    </xf>
    <xf numFmtId="0" fontId="25" fillId="9" borderId="12" xfId="0" applyFont="1" applyFill="1" applyBorder="1" applyAlignment="1">
      <alignment vertical="center" wrapText="1"/>
    </xf>
    <xf numFmtId="0" fontId="25" fillId="9" borderId="13" xfId="0" applyFont="1" applyFill="1" applyBorder="1" applyAlignment="1">
      <alignment vertical="center" wrapText="1"/>
    </xf>
    <xf numFmtId="0" fontId="26" fillId="5" borderId="1" xfId="0" applyFont="1" applyFill="1" applyBorder="1" applyAlignment="1">
      <alignment vertical="center" shrinkToFit="1"/>
    </xf>
    <xf numFmtId="0" fontId="26" fillId="5" borderId="2" xfId="0" applyFont="1" applyFill="1" applyBorder="1" applyAlignment="1">
      <alignment vertical="center" shrinkToFit="1"/>
    </xf>
    <xf numFmtId="0" fontId="26" fillId="5" borderId="3" xfId="0" applyFont="1" applyFill="1" applyBorder="1" applyAlignment="1">
      <alignment vertical="center" shrinkToFit="1"/>
    </xf>
    <xf numFmtId="0" fontId="26" fillId="5" borderId="4" xfId="0" applyFont="1" applyFill="1" applyBorder="1" applyAlignment="1">
      <alignment vertical="center" shrinkToFit="1"/>
    </xf>
    <xf numFmtId="0" fontId="26" fillId="5" borderId="0" xfId="0" applyFont="1" applyFill="1" applyBorder="1" applyAlignment="1">
      <alignment vertical="center" shrinkToFit="1"/>
    </xf>
    <xf numFmtId="0" fontId="26" fillId="5" borderId="5" xfId="0" applyFont="1" applyFill="1" applyBorder="1" applyAlignment="1">
      <alignment vertical="center" shrinkToFit="1"/>
    </xf>
    <xf numFmtId="0" fontId="24" fillId="6" borderId="1" xfId="0" applyFont="1" applyFill="1" applyBorder="1" applyAlignment="1">
      <alignment vertical="center"/>
    </xf>
    <xf numFmtId="0" fontId="24" fillId="6" borderId="2" xfId="0" applyFont="1" applyFill="1" applyBorder="1" applyAlignment="1">
      <alignment vertical="center"/>
    </xf>
    <xf numFmtId="0" fontId="24" fillId="6" borderId="3" xfId="0" applyFont="1" applyFill="1" applyBorder="1" applyAlignment="1">
      <alignment vertical="center"/>
    </xf>
    <xf numFmtId="0" fontId="24" fillId="6" borderId="11" xfId="0" applyFont="1" applyFill="1" applyBorder="1" applyAlignment="1">
      <alignment vertical="center"/>
    </xf>
    <xf numFmtId="0" fontId="24" fillId="6" borderId="12" xfId="0" applyFont="1" applyFill="1" applyBorder="1" applyAlignment="1">
      <alignment vertical="center"/>
    </xf>
    <xf numFmtId="0" fontId="24" fillId="6" borderId="13" xfId="0" applyFont="1" applyFill="1" applyBorder="1" applyAlignment="1">
      <alignment vertical="center"/>
    </xf>
    <xf numFmtId="0" fontId="47" fillId="6" borderId="1" xfId="0" applyFont="1" applyFill="1" applyBorder="1" applyAlignment="1">
      <alignment wrapText="1"/>
    </xf>
    <xf numFmtId="0" fontId="47" fillId="0" borderId="2" xfId="0" applyFont="1" applyBorder="1" applyAlignment="1">
      <alignment wrapText="1"/>
    </xf>
    <xf numFmtId="0" fontId="47" fillId="0" borderId="3" xfId="0"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3" xfId="0" applyFont="1" applyBorder="1" applyAlignment="1">
      <alignment wrapText="1"/>
    </xf>
    <xf numFmtId="0" fontId="31" fillId="3" borderId="11" xfId="0" applyFont="1" applyFill="1" applyBorder="1" applyAlignment="1">
      <alignment vertical="center"/>
    </xf>
    <xf numFmtId="0" fontId="0" fillId="0" borderId="12" xfId="0" applyBorder="1" applyAlignment="1">
      <alignment vertical="center"/>
    </xf>
    <xf numFmtId="0" fontId="0" fillId="0" borderId="12" xfId="0" applyBorder="1" applyAlignment="1"/>
    <xf numFmtId="0" fontId="0" fillId="0" borderId="13" xfId="0" applyBorder="1" applyAlignment="1"/>
    <xf numFmtId="0" fontId="3" fillId="4" borderId="38" xfId="0" applyFont="1" applyFill="1" applyBorder="1" applyAlignment="1">
      <alignment horizontal="left" vertical="center"/>
    </xf>
    <xf numFmtId="0" fontId="0" fillId="4" borderId="26" xfId="0" applyFill="1" applyBorder="1" applyAlignment="1">
      <alignment horizontal="left" vertical="center"/>
    </xf>
    <xf numFmtId="0" fontId="0" fillId="4" borderId="39" xfId="0" applyFill="1" applyBorder="1" applyAlignment="1">
      <alignment horizontal="left" vertical="center"/>
    </xf>
    <xf numFmtId="0" fontId="0" fillId="4" borderId="40" xfId="0" applyFill="1" applyBorder="1" applyAlignment="1">
      <alignment horizontal="left" vertical="center"/>
    </xf>
    <xf numFmtId="0" fontId="0" fillId="4" borderId="34" xfId="0" applyFill="1" applyBorder="1" applyAlignment="1">
      <alignment horizontal="left" vertical="center"/>
    </xf>
    <xf numFmtId="0" fontId="0" fillId="4" borderId="17" xfId="0" applyFill="1" applyBorder="1" applyAlignment="1">
      <alignment horizontal="left" vertical="center"/>
    </xf>
    <xf numFmtId="0" fontId="3" fillId="8" borderId="38" xfId="0" applyFont="1" applyFill="1" applyBorder="1" applyAlignment="1">
      <alignment horizontal="left" vertical="center"/>
    </xf>
    <xf numFmtId="0" fontId="0" fillId="8" borderId="26" xfId="0" applyFill="1" applyBorder="1" applyAlignment="1">
      <alignment horizontal="left" vertical="center"/>
    </xf>
    <xf numFmtId="0" fontId="0" fillId="8" borderId="39" xfId="0" applyFill="1" applyBorder="1" applyAlignment="1">
      <alignment horizontal="left" vertical="center"/>
    </xf>
    <xf numFmtId="0" fontId="0" fillId="8" borderId="40" xfId="0" applyFill="1" applyBorder="1" applyAlignment="1">
      <alignment horizontal="left" vertical="center"/>
    </xf>
    <xf numFmtId="0" fontId="0" fillId="8" borderId="34" xfId="0" applyFill="1" applyBorder="1" applyAlignment="1">
      <alignment horizontal="left" vertical="center"/>
    </xf>
    <xf numFmtId="0" fontId="0" fillId="8" borderId="17" xfId="0" applyFill="1" applyBorder="1" applyAlignment="1">
      <alignment horizontal="left" vertical="center"/>
    </xf>
    <xf numFmtId="0" fontId="14" fillId="16" borderId="41" xfId="0" applyFont="1" applyFill="1" applyBorder="1" applyAlignment="1">
      <alignment horizontal="left" vertical="center"/>
    </xf>
    <xf numFmtId="0" fontId="15" fillId="16" borderId="42" xfId="0" applyFont="1" applyFill="1" applyBorder="1" applyAlignment="1">
      <alignment horizontal="left" vertical="center"/>
    </xf>
    <xf numFmtId="0" fontId="15" fillId="16" borderId="43" xfId="0" applyFont="1" applyFill="1" applyBorder="1" applyAlignment="1">
      <alignment horizontal="left" vertical="center"/>
    </xf>
    <xf numFmtId="0" fontId="15" fillId="16" borderId="44" xfId="0" applyFont="1" applyFill="1" applyBorder="1" applyAlignment="1">
      <alignment horizontal="left" vertical="center"/>
    </xf>
    <xf numFmtId="0" fontId="15" fillId="16" borderId="45" xfId="0" applyFont="1" applyFill="1" applyBorder="1" applyAlignment="1">
      <alignment horizontal="left" vertical="center"/>
    </xf>
    <xf numFmtId="0" fontId="15" fillId="16" borderId="46" xfId="0" applyFont="1" applyFill="1" applyBorder="1" applyAlignment="1">
      <alignment horizontal="left" vertical="center"/>
    </xf>
    <xf numFmtId="0" fontId="10" fillId="19" borderId="38" xfId="0" applyFont="1" applyFill="1" applyBorder="1" applyAlignment="1">
      <alignment horizontal="left" vertical="center"/>
    </xf>
    <xf numFmtId="0" fontId="11" fillId="19" borderId="26" xfId="0" applyFont="1" applyFill="1" applyBorder="1" applyAlignment="1">
      <alignment horizontal="left" vertical="center"/>
    </xf>
    <xf numFmtId="0" fontId="11" fillId="19" borderId="39" xfId="0" applyFont="1" applyFill="1" applyBorder="1" applyAlignment="1">
      <alignment horizontal="left" vertical="center"/>
    </xf>
    <xf numFmtId="0" fontId="11" fillId="19" borderId="40" xfId="0" applyFont="1" applyFill="1" applyBorder="1" applyAlignment="1">
      <alignment horizontal="left" vertical="center"/>
    </xf>
    <xf numFmtId="0" fontId="11" fillId="19" borderId="34" xfId="0" applyFont="1" applyFill="1" applyBorder="1" applyAlignment="1">
      <alignment horizontal="left" vertical="center"/>
    </xf>
    <xf numFmtId="0" fontId="11" fillId="19" borderId="17" xfId="0" applyFont="1" applyFill="1" applyBorder="1" applyAlignment="1">
      <alignment horizontal="left" vertical="center"/>
    </xf>
    <xf numFmtId="0" fontId="12" fillId="7" borderId="38" xfId="0" applyFont="1" applyFill="1" applyBorder="1" applyAlignment="1">
      <alignment horizontal="left" vertical="center"/>
    </xf>
    <xf numFmtId="0" fontId="13" fillId="7" borderId="26" xfId="0" applyFont="1" applyFill="1" applyBorder="1" applyAlignment="1">
      <alignment horizontal="left" vertical="center"/>
    </xf>
    <xf numFmtId="0" fontId="13" fillId="7" borderId="47" xfId="0" applyFont="1" applyFill="1" applyBorder="1" applyAlignment="1">
      <alignment horizontal="left" vertical="center"/>
    </xf>
    <xf numFmtId="0" fontId="13" fillId="7" borderId="40" xfId="0" applyFont="1" applyFill="1" applyBorder="1" applyAlignment="1">
      <alignment horizontal="left" vertical="center"/>
    </xf>
    <xf numFmtId="0" fontId="13" fillId="7" borderId="34" xfId="0" applyFont="1" applyFill="1" applyBorder="1" applyAlignment="1">
      <alignment horizontal="left" vertical="center"/>
    </xf>
    <xf numFmtId="0" fontId="13" fillId="7" borderId="48" xfId="0" applyFont="1" applyFill="1" applyBorder="1" applyAlignment="1">
      <alignment horizontal="left" vertical="center"/>
    </xf>
    <xf numFmtId="0" fontId="5" fillId="0" borderId="0" xfId="0" quotePrefix="1" applyFont="1" applyAlignment="1">
      <alignment horizontal="justify" vertical="center"/>
    </xf>
    <xf numFmtId="0" fontId="9" fillId="0" borderId="0" xfId="0" applyFont="1" applyAlignment="1">
      <alignment vertical="center"/>
    </xf>
    <xf numFmtId="0" fontId="5" fillId="9" borderId="0" xfId="0" applyFont="1" applyFill="1" applyAlignment="1">
      <alignment horizontal="justify" vertical="center" wrapText="1"/>
    </xf>
    <xf numFmtId="0" fontId="9" fillId="9" borderId="0" xfId="0" applyFont="1" applyFill="1" applyAlignment="1">
      <alignment vertical="center" wrapText="1"/>
    </xf>
    <xf numFmtId="0" fontId="7" fillId="3" borderId="0" xfId="0" applyFont="1" applyFill="1" applyAlignment="1">
      <alignment horizontal="justify" vertical="center"/>
    </xf>
    <xf numFmtId="0" fontId="9" fillId="3" borderId="0" xfId="0" applyFont="1" applyFill="1" applyAlignment="1">
      <alignment vertical="center"/>
    </xf>
    <xf numFmtId="0" fontId="5" fillId="0" borderId="0" xfId="0" applyFont="1" applyAlignment="1">
      <alignment horizontal="justify" vertical="center"/>
    </xf>
    <xf numFmtId="0" fontId="7" fillId="0" borderId="0" xfId="0" applyFont="1" applyAlignment="1">
      <alignment horizontal="justify" vertical="center"/>
    </xf>
    <xf numFmtId="0" fontId="5" fillId="0" borderId="0" xfId="0" applyFont="1" applyAlignment="1">
      <alignment vertical="center"/>
    </xf>
    <xf numFmtId="0" fontId="27" fillId="0" borderId="0" xfId="0" applyFont="1" applyAlignment="1">
      <alignment horizontal="justify" wrapText="1"/>
    </xf>
    <xf numFmtId="0" fontId="11" fillId="0" borderId="0" xfId="0" applyFont="1" applyAlignment="1">
      <alignment wrapText="1"/>
    </xf>
    <xf numFmtId="0" fontId="28" fillId="0" borderId="0" xfId="0" applyFont="1" applyAlignment="1">
      <alignment horizontal="justify" vertical="center" wrapText="1"/>
    </xf>
    <xf numFmtId="0" fontId="11" fillId="0" borderId="0" xfId="0" applyFont="1" applyAlignment="1">
      <alignment vertical="center" wrapText="1"/>
    </xf>
    <xf numFmtId="0" fontId="7" fillId="8" borderId="33" xfId="0" applyFont="1" applyFill="1" applyBorder="1" applyAlignment="1">
      <alignment vertical="center"/>
    </xf>
    <xf numFmtId="0" fontId="0" fillId="8" borderId="36" xfId="0" applyFill="1" applyBorder="1" applyAlignment="1">
      <alignment vertical="center"/>
    </xf>
    <xf numFmtId="0" fontId="0" fillId="8" borderId="37" xfId="0" applyFill="1" applyBorder="1" applyAlignment="1">
      <alignment vertical="center"/>
    </xf>
    <xf numFmtId="0" fontId="29" fillId="0" borderId="0" xfId="0" applyFont="1" applyAlignment="1">
      <alignment horizontal="justify" vertical="center"/>
    </xf>
    <xf numFmtId="0" fontId="30" fillId="0" borderId="0" xfId="0" applyFont="1" applyAlignment="1">
      <alignment vertical="center"/>
    </xf>
    <xf numFmtId="0" fontId="5" fillId="3" borderId="0" xfId="0" applyFont="1" applyFill="1" applyAlignment="1">
      <alignment horizontal="justify" vertical="center" wrapText="1"/>
    </xf>
    <xf numFmtId="0" fontId="6" fillId="0" borderId="0" xfId="0" quotePrefix="1" applyFont="1" applyAlignment="1">
      <alignment horizontal="justify" vertical="center"/>
    </xf>
    <xf numFmtId="0" fontId="5" fillId="0" borderId="0" xfId="0" applyFont="1" applyAlignment="1">
      <alignment horizontal="justify" vertical="center" wrapText="1"/>
    </xf>
    <xf numFmtId="0" fontId="1" fillId="0" borderId="0" xfId="0" applyFont="1" applyAlignment="1">
      <alignment vertical="center" wrapText="1"/>
    </xf>
    <xf numFmtId="0" fontId="5" fillId="0" borderId="0" xfId="0" applyFont="1" applyAlignment="1">
      <alignment horizontal="justify" wrapText="1"/>
    </xf>
    <xf numFmtId="0" fontId="1" fillId="0" borderId="0" xfId="0" applyFont="1" applyAlignment="1">
      <alignment wrapText="1"/>
    </xf>
    <xf numFmtId="0" fontId="8" fillId="0" borderId="0" xfId="0" applyFont="1" applyAlignment="1">
      <alignment horizontal="justify" vertical="center" wrapText="1"/>
    </xf>
    <xf numFmtId="0" fontId="7" fillId="17" borderId="0" xfId="0" applyFont="1" applyFill="1" applyAlignment="1">
      <alignment horizontal="justify" vertical="center"/>
    </xf>
    <xf numFmtId="0" fontId="5" fillId="17" borderId="0" xfId="0" applyFont="1" applyFill="1" applyAlignment="1">
      <alignment vertical="center"/>
    </xf>
    <xf numFmtId="0" fontId="92" fillId="0" borderId="0" xfId="0" applyFont="1" applyAlignment="1">
      <alignment horizontal="center" vertical="center"/>
    </xf>
    <xf numFmtId="0" fontId="92"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vertical="center"/>
    </xf>
    <xf numFmtId="0" fontId="8" fillId="0" borderId="0" xfId="0" applyFont="1" applyAlignment="1">
      <alignment horizontal="justify" vertical="center"/>
    </xf>
    <xf numFmtId="0" fontId="94" fillId="0" borderId="0" xfId="0" applyFont="1" applyAlignment="1">
      <alignment horizontal="justify" vertical="center"/>
    </xf>
    <xf numFmtId="0" fontId="83" fillId="0" borderId="0" xfId="0" applyFont="1" applyAlignment="1">
      <alignment vertical="center"/>
    </xf>
    <xf numFmtId="0" fontId="44" fillId="2" borderId="15" xfId="0" applyFont="1" applyFill="1" applyBorder="1" applyAlignment="1">
      <alignment horizontal="center" vertical="top" wrapText="1"/>
    </xf>
    <xf numFmtId="0" fontId="3" fillId="0" borderId="15" xfId="0" applyFont="1" applyBorder="1" applyAlignment="1"/>
    <xf numFmtId="0" fontId="44" fillId="2" borderId="49" xfId="0" applyFont="1" applyFill="1" applyBorder="1" applyAlignment="1">
      <alignment horizontal="center" vertical="top" wrapText="1"/>
    </xf>
    <xf numFmtId="0" fontId="3" fillId="0" borderId="14" xfId="0" applyFont="1" applyBorder="1" applyAlignment="1">
      <alignment wrapText="1"/>
    </xf>
    <xf numFmtId="0" fontId="32" fillId="0" borderId="4" xfId="0" applyFont="1" applyBorder="1" applyAlignment="1">
      <alignment vertical="center" wrapText="1"/>
    </xf>
    <xf numFmtId="0" fontId="32" fillId="0" borderId="0" xfId="0" applyFont="1" applyBorder="1" applyAlignment="1">
      <alignment vertical="center" wrapText="1"/>
    </xf>
    <xf numFmtId="0" fontId="32" fillId="0" borderId="5" xfId="0" applyFont="1" applyBorder="1" applyAlignment="1">
      <alignment vertical="center" wrapText="1"/>
    </xf>
    <xf numFmtId="14" fontId="4" fillId="0" borderId="2" xfId="0" applyNumberFormat="1" applyFont="1" applyBorder="1" applyAlignment="1">
      <alignment horizontal="center"/>
    </xf>
    <xf numFmtId="0" fontId="4" fillId="0" borderId="2" xfId="0" applyFont="1" applyBorder="1" applyAlignment="1">
      <alignment horizontal="center"/>
    </xf>
    <xf numFmtId="0" fontId="31" fillId="3" borderId="33" xfId="0" applyFont="1" applyFill="1" applyBorder="1" applyAlignment="1">
      <alignment vertical="center"/>
    </xf>
    <xf numFmtId="0" fontId="0" fillId="0" borderId="36" xfId="0" applyBorder="1" applyAlignment="1">
      <alignment vertical="center"/>
    </xf>
    <xf numFmtId="0" fontId="0" fillId="0" borderId="36" xfId="0" applyBorder="1" applyAlignment="1"/>
    <xf numFmtId="0" fontId="0" fillId="0" borderId="37" xfId="0" applyBorder="1" applyAlignment="1"/>
    <xf numFmtId="0" fontId="33" fillId="16" borderId="33" xfId="0" applyFont="1" applyFill="1" applyBorder="1" applyAlignment="1">
      <alignment vertical="center"/>
    </xf>
    <xf numFmtId="0" fontId="15" fillId="16" borderId="36" xfId="0" applyFont="1" applyFill="1" applyBorder="1" applyAlignment="1">
      <alignment vertical="center"/>
    </xf>
    <xf numFmtId="0" fontId="15" fillId="16" borderId="37" xfId="0" applyFont="1" applyFill="1" applyBorder="1" applyAlignment="1">
      <alignment vertical="center"/>
    </xf>
    <xf numFmtId="0" fontId="21" fillId="7" borderId="50" xfId="0" applyFont="1" applyFill="1" applyBorder="1" applyAlignment="1">
      <alignment vertical="center"/>
    </xf>
    <xf numFmtId="0" fontId="22" fillId="7" borderId="3" xfId="0" applyFont="1" applyFill="1" applyBorder="1" applyAlignment="1">
      <alignment vertical="center"/>
    </xf>
    <xf numFmtId="0" fontId="22" fillId="7" borderId="51" xfId="0" applyFont="1" applyFill="1" applyBorder="1" applyAlignment="1">
      <alignment vertical="center"/>
    </xf>
    <xf numFmtId="0" fontId="22" fillId="7" borderId="13" xfId="0" applyFont="1" applyFill="1" applyBorder="1" applyAlignment="1">
      <alignment vertical="center"/>
    </xf>
    <xf numFmtId="0" fontId="74" fillId="16" borderId="50" xfId="0" applyFont="1" applyFill="1" applyBorder="1" applyAlignment="1">
      <alignment vertical="center"/>
    </xf>
    <xf numFmtId="0" fontId="75" fillId="16" borderId="3" xfId="0" applyFont="1" applyFill="1" applyBorder="1" applyAlignment="1">
      <alignment vertical="center"/>
    </xf>
    <xf numFmtId="0" fontId="75" fillId="16" borderId="51" xfId="0" applyFont="1" applyFill="1" applyBorder="1" applyAlignment="1">
      <alignment vertical="center"/>
    </xf>
    <xf numFmtId="0" fontId="75" fillId="16" borderId="13" xfId="0" applyFont="1" applyFill="1" applyBorder="1" applyAlignment="1">
      <alignment vertical="center"/>
    </xf>
    <xf numFmtId="0" fontId="3" fillId="7" borderId="52" xfId="0" applyFont="1" applyFill="1" applyBorder="1" applyAlignment="1">
      <alignment vertical="center"/>
    </xf>
    <xf numFmtId="0" fontId="0" fillId="7" borderId="36" xfId="0" applyFill="1" applyBorder="1" applyAlignment="1">
      <alignment vertical="center"/>
    </xf>
    <xf numFmtId="0" fontId="0" fillId="7" borderId="37" xfId="0" applyFill="1" applyBorder="1" applyAlignment="1">
      <alignment vertical="center"/>
    </xf>
    <xf numFmtId="0" fontId="10" fillId="5" borderId="53" xfId="0" applyFont="1" applyFill="1" applyBorder="1" applyAlignment="1">
      <alignment vertical="center"/>
    </xf>
    <xf numFmtId="0" fontId="10" fillId="5" borderId="54" xfId="0" applyFont="1" applyFill="1" applyBorder="1" applyAlignment="1">
      <alignment vertical="center"/>
    </xf>
    <xf numFmtId="0" fontId="10" fillId="5" borderId="55" xfId="0" applyFont="1" applyFill="1" applyBorder="1" applyAlignment="1">
      <alignment vertical="center"/>
    </xf>
    <xf numFmtId="0" fontId="10" fillId="7" borderId="32" xfId="0" applyFont="1" applyFill="1" applyBorder="1" applyAlignment="1">
      <alignment wrapText="1"/>
    </xf>
    <xf numFmtId="0" fontId="11" fillId="7" borderId="56" xfId="0" applyFont="1" applyFill="1" applyBorder="1" applyAlignment="1">
      <alignment wrapText="1"/>
    </xf>
    <xf numFmtId="0" fontId="11" fillId="7" borderId="16" xfId="0" applyFont="1" applyFill="1" applyBorder="1" applyAlignment="1">
      <alignment wrapText="1"/>
    </xf>
    <xf numFmtId="0" fontId="3" fillId="5" borderId="11"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16" fillId="20" borderId="38" xfId="0" applyFont="1" applyFill="1" applyBorder="1" applyAlignment="1">
      <alignment vertical="center"/>
    </xf>
    <xf numFmtId="0" fontId="11" fillId="20" borderId="26" xfId="0" applyFont="1" applyFill="1" applyBorder="1" applyAlignment="1">
      <alignment vertical="center"/>
    </xf>
    <xf numFmtId="0" fontId="11" fillId="20" borderId="47" xfId="0" applyFont="1" applyFill="1" applyBorder="1" applyAlignment="1">
      <alignment vertical="center"/>
    </xf>
    <xf numFmtId="0" fontId="16" fillId="20" borderId="40" xfId="0" quotePrefix="1" applyFont="1" applyFill="1" applyBorder="1" applyAlignment="1">
      <alignment vertical="center"/>
    </xf>
    <xf numFmtId="0" fontId="11" fillId="20" borderId="34" xfId="0" applyFont="1" applyFill="1" applyBorder="1" applyAlignment="1">
      <alignment vertical="center"/>
    </xf>
    <xf numFmtId="0" fontId="11" fillId="20" borderId="48" xfId="0" applyFont="1" applyFill="1" applyBorder="1" applyAlignment="1">
      <alignment vertical="center"/>
    </xf>
    <xf numFmtId="0" fontId="3" fillId="21" borderId="38" xfId="0" applyFont="1" applyFill="1" applyBorder="1" applyAlignment="1">
      <alignment vertical="center"/>
    </xf>
    <xf numFmtId="0" fontId="0" fillId="21" borderId="26" xfId="0" applyFill="1" applyBorder="1" applyAlignment="1">
      <alignment vertical="center"/>
    </xf>
    <xf numFmtId="0" fontId="0" fillId="21" borderId="39" xfId="0" applyFill="1" applyBorder="1" applyAlignment="1">
      <alignment vertical="center"/>
    </xf>
    <xf numFmtId="0" fontId="0" fillId="21" borderId="40" xfId="0" applyFill="1" applyBorder="1" applyAlignment="1">
      <alignment vertical="center"/>
    </xf>
    <xf numFmtId="0" fontId="0" fillId="21" borderId="34" xfId="0" applyFill="1" applyBorder="1" applyAlignment="1">
      <alignment vertical="center"/>
    </xf>
    <xf numFmtId="0" fontId="0" fillId="21" borderId="17" xfId="0" applyFill="1" applyBorder="1" applyAlignment="1">
      <alignment vertical="center"/>
    </xf>
    <xf numFmtId="0" fontId="3" fillId="18" borderId="38" xfId="0" applyFont="1" applyFill="1" applyBorder="1" applyAlignment="1">
      <alignment vertical="center"/>
    </xf>
    <xf numFmtId="0" fontId="0" fillId="18" borderId="26" xfId="0" applyFill="1" applyBorder="1" applyAlignment="1">
      <alignment vertical="center"/>
    </xf>
    <xf numFmtId="0" fontId="0" fillId="18" borderId="39" xfId="0" applyFill="1" applyBorder="1" applyAlignment="1">
      <alignment vertical="center"/>
    </xf>
    <xf numFmtId="0" fontId="0" fillId="18" borderId="40" xfId="0" applyFill="1" applyBorder="1" applyAlignment="1">
      <alignment vertical="center"/>
    </xf>
    <xf numFmtId="0" fontId="0" fillId="18" borderId="34" xfId="0" applyFill="1" applyBorder="1" applyAlignment="1">
      <alignment vertical="center"/>
    </xf>
    <xf numFmtId="0" fontId="0" fillId="18" borderId="17" xfId="0" applyFill="1" applyBorder="1" applyAlignment="1">
      <alignment vertical="center"/>
    </xf>
    <xf numFmtId="0" fontId="17" fillId="16" borderId="38" xfId="0" applyFont="1" applyFill="1" applyBorder="1" applyAlignment="1">
      <alignment vertical="center"/>
    </xf>
    <xf numFmtId="0" fontId="18" fillId="16" borderId="26" xfId="0" applyFont="1" applyFill="1" applyBorder="1" applyAlignment="1">
      <alignment vertical="center"/>
    </xf>
    <xf numFmtId="0" fontId="18" fillId="16" borderId="39" xfId="0" applyFont="1" applyFill="1" applyBorder="1" applyAlignment="1">
      <alignment vertical="center"/>
    </xf>
    <xf numFmtId="0" fontId="18" fillId="16" borderId="40" xfId="0" applyFont="1" applyFill="1" applyBorder="1" applyAlignment="1">
      <alignment vertical="center"/>
    </xf>
    <xf numFmtId="0" fontId="18" fillId="16" borderId="34" xfId="0" applyFont="1" applyFill="1" applyBorder="1" applyAlignment="1">
      <alignment vertical="center"/>
    </xf>
    <xf numFmtId="0" fontId="18" fillId="16" borderId="17" xfId="0" applyFont="1" applyFill="1" applyBorder="1" applyAlignment="1">
      <alignment vertical="center"/>
    </xf>
    <xf numFmtId="0" fontId="3" fillId="5" borderId="1"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60" fillId="0" borderId="57" xfId="0" applyFont="1" applyBorder="1" applyAlignment="1">
      <alignment horizontal="center"/>
    </xf>
    <xf numFmtId="0" fontId="11" fillId="0" borderId="26" xfId="0" applyFont="1" applyBorder="1" applyAlignment="1">
      <alignment horizontal="center"/>
    </xf>
    <xf numFmtId="0" fontId="7" fillId="0" borderId="27" xfId="0" applyFont="1" applyBorder="1" applyAlignment="1">
      <alignment horizontal="left" vertical="center"/>
    </xf>
    <xf numFmtId="0" fontId="2" fillId="0" borderId="0" xfId="0" applyFont="1" applyAlignment="1">
      <alignment horizontal="left" vertical="center"/>
    </xf>
    <xf numFmtId="0" fontId="7" fillId="7" borderId="27" xfId="0" applyFont="1" applyFill="1" applyBorder="1" applyAlignment="1">
      <alignment horizontal="center" vertical="center"/>
    </xf>
    <xf numFmtId="0" fontId="2" fillId="7" borderId="0" xfId="0" applyFont="1" applyFill="1" applyAlignment="1">
      <alignment horizontal="center" vertical="center"/>
    </xf>
    <xf numFmtId="0" fontId="31" fillId="12" borderId="1" xfId="0" applyFont="1" applyFill="1" applyBorder="1" applyAlignment="1">
      <alignment vertical="center"/>
    </xf>
    <xf numFmtId="0" fontId="0" fillId="12" borderId="2" xfId="0" applyFill="1" applyBorder="1" applyAlignment="1">
      <alignment vertical="center"/>
    </xf>
    <xf numFmtId="0" fontId="0" fillId="12" borderId="2" xfId="0" applyFill="1" applyBorder="1" applyAlignment="1"/>
    <xf numFmtId="0" fontId="16" fillId="7" borderId="25" xfId="0" applyFont="1" applyFill="1" applyBorder="1" applyAlignment="1">
      <alignment horizontal="left" vertical="center"/>
    </xf>
    <xf numFmtId="0" fontId="86" fillId="0" borderId="0" xfId="0" applyFont="1" applyAlignment="1">
      <alignment horizontal="left" vertical="center" wrapText="1"/>
    </xf>
    <xf numFmtId="0" fontId="87" fillId="0" borderId="0" xfId="0" applyFont="1" applyAlignment="1">
      <alignment horizontal="left" vertical="center" wrapText="1"/>
    </xf>
    <xf numFmtId="0" fontId="65" fillId="7" borderId="0" xfId="0" applyFont="1" applyFill="1" applyAlignment="1">
      <alignment horizontal="center" vertical="center"/>
    </xf>
    <xf numFmtId="0" fontId="62" fillId="7" borderId="0" xfId="0" applyFont="1" applyFill="1" applyAlignment="1">
      <alignment vertical="center" wrapText="1"/>
    </xf>
    <xf numFmtId="0" fontId="79" fillId="12" borderId="1" xfId="0" applyFont="1" applyFill="1" applyBorder="1" applyAlignment="1">
      <alignment vertical="center" wrapText="1"/>
    </xf>
    <xf numFmtId="0" fontId="79" fillId="12" borderId="2" xfId="0" applyFont="1" applyFill="1" applyBorder="1" applyAlignment="1">
      <alignment vertical="center" wrapText="1"/>
    </xf>
    <xf numFmtId="0" fontId="79" fillId="12" borderId="3" xfId="0" applyFont="1" applyFill="1" applyBorder="1" applyAlignment="1">
      <alignment vertical="center" wrapText="1"/>
    </xf>
    <xf numFmtId="0" fontId="79" fillId="12" borderId="11" xfId="0" applyFont="1" applyFill="1" applyBorder="1" applyAlignment="1">
      <alignment vertical="center" wrapText="1"/>
    </xf>
    <xf numFmtId="0" fontId="79" fillId="12" borderId="12" xfId="0" applyFont="1" applyFill="1" applyBorder="1" applyAlignment="1">
      <alignment vertical="center" wrapText="1"/>
    </xf>
    <xf numFmtId="0" fontId="79" fillId="12" borderId="13" xfId="0" applyFont="1" applyFill="1" applyBorder="1" applyAlignment="1">
      <alignment vertical="center" wrapText="1"/>
    </xf>
    <xf numFmtId="0" fontId="60" fillId="7" borderId="4" xfId="0" applyFont="1" applyFill="1" applyBorder="1" applyAlignment="1">
      <alignment horizontal="left"/>
    </xf>
    <xf numFmtId="0" fontId="11" fillId="7" borderId="0" xfId="0" applyFont="1" applyFill="1" applyBorder="1" applyAlignment="1">
      <alignment horizontal="left"/>
    </xf>
    <xf numFmtId="0" fontId="11" fillId="7" borderId="5" xfId="0" applyFont="1" applyFill="1" applyBorder="1" applyAlignment="1">
      <alignment horizontal="left"/>
    </xf>
    <xf numFmtId="0" fontId="68" fillId="7" borderId="11" xfId="0" applyFont="1" applyFill="1" applyBorder="1" applyAlignment="1">
      <alignment horizontal="justify" vertical="top"/>
    </xf>
    <xf numFmtId="0" fontId="11" fillId="7" borderId="12" xfId="0" applyFont="1" applyFill="1" applyBorder="1" applyAlignment="1"/>
    <xf numFmtId="0" fontId="11" fillId="7" borderId="13" xfId="0" applyFont="1" applyFill="1" applyBorder="1" applyAlignment="1"/>
    <xf numFmtId="0" fontId="60" fillId="7" borderId="11" xfId="0" applyFont="1" applyFill="1" applyBorder="1" applyAlignment="1">
      <alignment horizontal="justify" vertical="center"/>
    </xf>
    <xf numFmtId="0" fontId="0" fillId="0" borderId="13" xfId="0" applyBorder="1" applyAlignment="1">
      <alignment vertical="center"/>
    </xf>
    <xf numFmtId="0" fontId="50" fillId="15" borderId="1" xfId="0" applyFont="1" applyFill="1" applyBorder="1" applyAlignment="1">
      <alignment horizontal="justify" vertical="center" wrapText="1"/>
    </xf>
    <xf numFmtId="0" fontId="11" fillId="15" borderId="2" xfId="0" applyFont="1" applyFill="1" applyBorder="1" applyAlignment="1">
      <alignment vertical="center" wrapText="1"/>
    </xf>
    <xf numFmtId="0" fontId="11" fillId="15" borderId="3" xfId="0" applyFont="1" applyFill="1" applyBorder="1" applyAlignment="1">
      <alignment vertical="center" wrapText="1"/>
    </xf>
    <xf numFmtId="0" fontId="11" fillId="15" borderId="11" xfId="0" applyFont="1" applyFill="1" applyBorder="1" applyAlignment="1">
      <alignment vertical="center" wrapText="1"/>
    </xf>
    <xf numFmtId="0" fontId="11" fillId="15" borderId="12" xfId="0" applyFont="1" applyFill="1" applyBorder="1" applyAlignment="1">
      <alignment vertical="center" wrapText="1"/>
    </xf>
    <xf numFmtId="0" fontId="11" fillId="15" borderId="13" xfId="0" applyFont="1" applyFill="1" applyBorder="1" applyAlignment="1">
      <alignment vertical="center" wrapText="1"/>
    </xf>
    <xf numFmtId="0" fontId="48" fillId="2" borderId="25" xfId="0" applyFont="1" applyFill="1" applyBorder="1" applyAlignment="1">
      <alignment horizontal="center" vertical="center"/>
    </xf>
    <xf numFmtId="0" fontId="0" fillId="0" borderId="25" xfId="0" applyBorder="1" applyAlignment="1"/>
    <xf numFmtId="0" fontId="0" fillId="0" borderId="33" xfId="0" applyBorder="1" applyAlignment="1"/>
    <xf numFmtId="0" fontId="16"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15" borderId="4" xfId="0" applyFont="1" applyFill="1" applyBorder="1" applyAlignment="1">
      <alignment horizontal="left" vertical="center"/>
    </xf>
    <xf numFmtId="0" fontId="13" fillId="15" borderId="0" xfId="0" applyFont="1" applyFill="1" applyAlignment="1">
      <alignment horizontal="left" vertical="center"/>
    </xf>
    <xf numFmtId="0" fontId="13" fillId="15" borderId="5" xfId="0" applyFont="1" applyFill="1" applyBorder="1" applyAlignment="1">
      <alignment horizontal="left" vertical="center"/>
    </xf>
    <xf numFmtId="0" fontId="3" fillId="7" borderId="4" xfId="0"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0" fontId="3" fillId="15" borderId="1" xfId="0" applyFont="1" applyFill="1" applyBorder="1" applyAlignment="1">
      <alignment vertical="center" wrapText="1"/>
    </xf>
    <xf numFmtId="0" fontId="0" fillId="15" borderId="2" xfId="0" applyFill="1" applyBorder="1" applyAlignment="1">
      <alignment vertical="center" wrapText="1"/>
    </xf>
    <xf numFmtId="0" fontId="0" fillId="15" borderId="3" xfId="0" applyFill="1" applyBorder="1" applyAlignment="1">
      <alignment vertical="center" wrapText="1"/>
    </xf>
    <xf numFmtId="0" fontId="0" fillId="15" borderId="11" xfId="0" applyFill="1" applyBorder="1" applyAlignment="1">
      <alignment vertical="center" wrapText="1"/>
    </xf>
    <xf numFmtId="0" fontId="0" fillId="15" borderId="12" xfId="0" applyFill="1" applyBorder="1" applyAlignment="1">
      <alignment vertical="center" wrapText="1"/>
    </xf>
    <xf numFmtId="0" fontId="0" fillId="15" borderId="13" xfId="0" applyFill="1" applyBorder="1" applyAlignment="1">
      <alignment vertical="center" wrapText="1"/>
    </xf>
    <xf numFmtId="0" fontId="54" fillId="15" borderId="1" xfId="0" applyFont="1" applyFill="1" applyBorder="1" applyAlignment="1">
      <alignment horizontal="justify" vertical="center" wrapText="1"/>
    </xf>
    <xf numFmtId="0" fontId="54" fillId="15" borderId="2" xfId="0" applyFont="1" applyFill="1" applyBorder="1" applyAlignment="1">
      <alignment horizontal="justify" vertical="center" wrapText="1"/>
    </xf>
    <xf numFmtId="0" fontId="54" fillId="15" borderId="3" xfId="0" applyFont="1" applyFill="1" applyBorder="1" applyAlignment="1">
      <alignment horizontal="justify" vertical="center" wrapText="1"/>
    </xf>
    <xf numFmtId="0" fontId="54" fillId="15" borderId="4" xfId="0" applyFont="1" applyFill="1" applyBorder="1" applyAlignment="1">
      <alignment horizontal="justify" vertical="center" wrapText="1"/>
    </xf>
    <xf numFmtId="0" fontId="54" fillId="15" borderId="0" xfId="0" applyFont="1" applyFill="1" applyBorder="1" applyAlignment="1">
      <alignment horizontal="justify" vertical="center" wrapText="1"/>
    </xf>
    <xf numFmtId="0" fontId="54" fillId="15" borderId="5" xfId="0" applyFont="1" applyFill="1" applyBorder="1" applyAlignment="1">
      <alignment horizontal="justify" vertical="center" wrapText="1"/>
    </xf>
    <xf numFmtId="0" fontId="54" fillId="15" borderId="11" xfId="0" applyFont="1" applyFill="1" applyBorder="1" applyAlignment="1">
      <alignment horizontal="justify" vertical="center" wrapText="1"/>
    </xf>
    <xf numFmtId="0" fontId="54" fillId="15" borderId="12" xfId="0" applyFont="1" applyFill="1" applyBorder="1" applyAlignment="1">
      <alignment horizontal="justify" vertical="center" wrapText="1"/>
    </xf>
    <xf numFmtId="0" fontId="54" fillId="15" borderId="13" xfId="0" applyFont="1" applyFill="1" applyBorder="1" applyAlignment="1">
      <alignment horizontal="justify" vertical="center" wrapText="1"/>
    </xf>
    <xf numFmtId="0" fontId="45" fillId="9" borderId="58" xfId="0" applyFont="1" applyFill="1" applyBorder="1" applyAlignment="1">
      <alignment horizontal="center" vertical="center"/>
    </xf>
    <xf numFmtId="0" fontId="16" fillId="10" borderId="58" xfId="0" applyFont="1" applyFill="1" applyBorder="1" applyAlignment="1">
      <alignment horizontal="center" vertical="center"/>
    </xf>
    <xf numFmtId="0" fontId="2" fillId="7" borderId="1" xfId="0" applyFont="1"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56" fillId="12" borderId="33" xfId="0" applyFont="1" applyFill="1" applyBorder="1" applyAlignment="1">
      <alignment horizontal="center" vertical="center"/>
    </xf>
    <xf numFmtId="0" fontId="56" fillId="12" borderId="36" xfId="0" applyFont="1" applyFill="1" applyBorder="1" applyAlignment="1">
      <alignment horizontal="center" vertical="center"/>
    </xf>
    <xf numFmtId="0" fontId="56" fillId="12" borderId="37" xfId="0" applyFont="1" applyFill="1" applyBorder="1" applyAlignment="1">
      <alignment horizontal="center" vertical="center"/>
    </xf>
    <xf numFmtId="0" fontId="2" fillId="22" borderId="1" xfId="0" applyFont="1" applyFill="1" applyBorder="1" applyAlignment="1">
      <alignment vertical="top" wrapText="1"/>
    </xf>
    <xf numFmtId="0" fontId="1" fillId="22" borderId="2" xfId="0" applyFont="1" applyFill="1" applyBorder="1" applyAlignment="1">
      <alignment vertical="top" wrapText="1"/>
    </xf>
    <xf numFmtId="0" fontId="1" fillId="22" borderId="3" xfId="0" applyFont="1" applyFill="1" applyBorder="1" applyAlignment="1">
      <alignment vertical="top" wrapText="1"/>
    </xf>
    <xf numFmtId="0" fontId="1" fillId="22" borderId="4" xfId="0" applyFont="1" applyFill="1" applyBorder="1" applyAlignment="1">
      <alignment wrapText="1"/>
    </xf>
    <xf numFmtId="0" fontId="1" fillId="22" borderId="0" xfId="0" applyFont="1" applyFill="1" applyBorder="1" applyAlignment="1">
      <alignment wrapText="1"/>
    </xf>
    <xf numFmtId="0" fontId="1" fillId="22" borderId="5" xfId="0" applyFont="1" applyFill="1"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2" fillId="12" borderId="7" xfId="0" applyFont="1" applyFill="1" applyBorder="1" applyAlignment="1">
      <alignment vertical="center" wrapText="1"/>
    </xf>
    <xf numFmtId="0" fontId="1" fillId="12" borderId="7" xfId="0" applyFont="1" applyFill="1" applyBorder="1" applyAlignment="1">
      <alignment vertical="center" wrapText="1"/>
    </xf>
    <xf numFmtId="0" fontId="1" fillId="12" borderId="0" xfId="0" applyFont="1" applyFill="1" applyBorder="1" applyAlignment="1">
      <alignment vertical="center" wrapText="1"/>
    </xf>
    <xf numFmtId="0" fontId="0" fillId="12" borderId="0" xfId="0" applyFill="1" applyAlignment="1">
      <alignment wrapText="1"/>
    </xf>
    <xf numFmtId="0" fontId="101" fillId="0" borderId="0" xfId="0" applyFont="1" applyAlignment="1">
      <alignment vertical="center"/>
    </xf>
    <xf numFmtId="0" fontId="87" fillId="0" borderId="0" xfId="0" applyFont="1" applyAlignment="1">
      <alignment vertical="center"/>
    </xf>
    <xf numFmtId="0" fontId="87" fillId="0" borderId="0" xfId="0" applyFont="1" applyAlignment="1">
      <alignment horizontal="left" vertical="center"/>
    </xf>
    <xf numFmtId="0" fontId="87" fillId="0" borderId="0" xfId="0" quotePrefix="1" applyFont="1" applyAlignment="1">
      <alignment horizontal="left" vertical="center"/>
    </xf>
    <xf numFmtId="0" fontId="87" fillId="0" borderId="0" xfId="0" quotePrefix="1" applyFont="1" applyAlignment="1">
      <alignment horizontal="left" vertical="center" wrapText="1"/>
    </xf>
  </cellXfs>
  <cellStyles count="3">
    <cellStyle name="Κανονικό" xfId="0" builtinId="0"/>
    <cellStyle name="Κόμμα" xfId="1" builtinId="3"/>
    <cellStyle name="Ποσοστό"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6" sqref="B6"/>
    </sheetView>
  </sheetViews>
  <sheetFormatPr defaultRowHeight="12.75" x14ac:dyDescent="0.2"/>
  <cols>
    <col min="1" max="1" width="11" style="117" customWidth="1"/>
    <col min="2" max="2" width="10.85546875" style="117" customWidth="1"/>
    <col min="3" max="16384" width="9.140625" style="117"/>
  </cols>
  <sheetData>
    <row r="1" spans="1:11" ht="13.5" thickTop="1" x14ac:dyDescent="0.2">
      <c r="A1" s="125" t="s">
        <v>64</v>
      </c>
      <c r="B1" s="126"/>
      <c r="C1" s="126"/>
      <c r="D1" s="126"/>
      <c r="E1" s="126"/>
      <c r="F1" s="126"/>
      <c r="G1" s="126"/>
      <c r="H1" s="126"/>
      <c r="I1" s="126"/>
      <c r="J1" s="118"/>
      <c r="K1" s="119"/>
    </row>
    <row r="2" spans="1:11" x14ac:dyDescent="0.2">
      <c r="A2" s="127" t="s">
        <v>84</v>
      </c>
      <c r="B2" s="128" t="s">
        <v>85</v>
      </c>
      <c r="C2" s="128"/>
      <c r="D2" s="128" t="s">
        <v>86</v>
      </c>
      <c r="E2" s="128"/>
      <c r="F2" s="128"/>
      <c r="G2" s="128" t="s">
        <v>87</v>
      </c>
      <c r="H2" s="128"/>
      <c r="I2" s="128"/>
      <c r="J2" s="120"/>
      <c r="K2" s="121"/>
    </row>
    <row r="3" spans="1:11" x14ac:dyDescent="0.2">
      <c r="A3" s="129" t="s">
        <v>65</v>
      </c>
      <c r="B3" s="130"/>
      <c r="C3" s="130"/>
      <c r="D3" s="130"/>
      <c r="E3" s="130"/>
      <c r="F3" s="130"/>
      <c r="G3" s="130"/>
      <c r="H3" s="130"/>
      <c r="I3" s="130"/>
      <c r="J3" s="120"/>
      <c r="K3" s="121"/>
    </row>
    <row r="4" spans="1:11" x14ac:dyDescent="0.2">
      <c r="A4" s="129" t="s">
        <v>66</v>
      </c>
      <c r="B4" s="130" t="s">
        <v>88</v>
      </c>
      <c r="C4" s="130" t="s">
        <v>68</v>
      </c>
      <c r="D4" s="130" t="s">
        <v>90</v>
      </c>
      <c r="E4" s="130"/>
      <c r="F4" s="130"/>
      <c r="G4" s="130" t="s">
        <v>89</v>
      </c>
      <c r="H4" s="130"/>
      <c r="I4" s="130"/>
      <c r="J4" s="120"/>
      <c r="K4" s="121"/>
    </row>
    <row r="5" spans="1:11" x14ac:dyDescent="0.2">
      <c r="A5" s="129" t="s">
        <v>67</v>
      </c>
      <c r="B5" s="130" t="s">
        <v>251</v>
      </c>
      <c r="C5" s="130"/>
      <c r="D5" s="130"/>
      <c r="E5" s="130"/>
      <c r="F5" s="130"/>
      <c r="G5" s="130"/>
      <c r="H5" s="130"/>
      <c r="I5" s="130"/>
      <c r="J5" s="120"/>
      <c r="K5" s="121"/>
    </row>
    <row r="6" spans="1:11" x14ac:dyDescent="0.2">
      <c r="A6" s="129" t="s">
        <v>69</v>
      </c>
      <c r="B6" s="130"/>
      <c r="C6" s="130" t="s">
        <v>70</v>
      </c>
      <c r="D6" s="130"/>
      <c r="E6" s="130"/>
      <c r="F6" s="130"/>
      <c r="G6" s="130"/>
      <c r="H6" s="130"/>
      <c r="I6" s="130"/>
      <c r="J6" s="120"/>
      <c r="K6" s="121"/>
    </row>
    <row r="7" spans="1:11" x14ac:dyDescent="0.2">
      <c r="A7" s="131" t="s">
        <v>71</v>
      </c>
      <c r="B7" s="36"/>
      <c r="C7" s="36"/>
      <c r="D7" s="36"/>
      <c r="E7" s="36"/>
      <c r="F7" s="36"/>
      <c r="G7" s="36"/>
      <c r="H7" s="36"/>
      <c r="I7" s="36"/>
      <c r="J7" s="36"/>
      <c r="K7" s="132"/>
    </row>
    <row r="8" spans="1:11" x14ac:dyDescent="0.2">
      <c r="A8" s="133" t="s">
        <v>91</v>
      </c>
      <c r="B8" s="36"/>
      <c r="C8" s="36"/>
      <c r="D8" s="36" t="s">
        <v>72</v>
      </c>
      <c r="E8" s="36"/>
      <c r="F8" s="36"/>
      <c r="G8" s="36"/>
      <c r="H8" s="36"/>
      <c r="I8" s="36"/>
      <c r="J8" s="36"/>
      <c r="K8" s="132"/>
    </row>
    <row r="9" spans="1:11" x14ac:dyDescent="0.2">
      <c r="A9" s="133" t="s">
        <v>92</v>
      </c>
      <c r="B9" s="36"/>
      <c r="C9" s="36"/>
      <c r="D9" s="36" t="s">
        <v>73</v>
      </c>
      <c r="E9" s="36"/>
      <c r="F9" s="36"/>
      <c r="G9" s="36"/>
      <c r="H9" s="36"/>
      <c r="I9" s="36"/>
      <c r="J9" s="36"/>
      <c r="K9" s="132"/>
    </row>
    <row r="10" spans="1:11" x14ac:dyDescent="0.2">
      <c r="A10" s="133" t="s">
        <v>93</v>
      </c>
      <c r="B10" s="36"/>
      <c r="C10" s="36"/>
      <c r="D10" s="36" t="s">
        <v>74</v>
      </c>
      <c r="E10" s="36"/>
      <c r="F10" s="36"/>
      <c r="G10" s="36"/>
      <c r="H10" s="36"/>
      <c r="I10" s="36"/>
      <c r="J10" s="36"/>
      <c r="K10" s="132"/>
    </row>
    <row r="11" spans="1:11" x14ac:dyDescent="0.2">
      <c r="A11" s="134" t="s">
        <v>75</v>
      </c>
      <c r="B11" s="19"/>
      <c r="C11" s="19"/>
      <c r="D11" s="19"/>
      <c r="E11" s="19"/>
      <c r="F11" s="19"/>
      <c r="G11" s="19"/>
      <c r="H11" s="19"/>
      <c r="I11" s="19"/>
      <c r="J11" s="120"/>
      <c r="K11" s="121"/>
    </row>
    <row r="12" spans="1:11" x14ac:dyDescent="0.2">
      <c r="A12" s="27" t="s">
        <v>76</v>
      </c>
      <c r="B12" s="19"/>
      <c r="C12" s="19"/>
      <c r="D12" s="19"/>
      <c r="E12" s="19"/>
      <c r="F12" s="19"/>
      <c r="G12" s="19"/>
      <c r="H12" s="19"/>
      <c r="I12" s="19"/>
      <c r="J12" s="120"/>
      <c r="K12" s="121"/>
    </row>
    <row r="13" spans="1:11" x14ac:dyDescent="0.2">
      <c r="A13" s="27" t="s">
        <v>77</v>
      </c>
      <c r="B13" s="19"/>
      <c r="C13" s="19"/>
      <c r="D13" s="19"/>
      <c r="E13" s="19"/>
      <c r="F13" s="19"/>
      <c r="G13" s="19"/>
      <c r="H13" s="19"/>
      <c r="I13" s="19"/>
      <c r="J13" s="120"/>
      <c r="K13" s="121"/>
    </row>
    <row r="14" spans="1:11" x14ac:dyDescent="0.2">
      <c r="A14" s="135" t="s">
        <v>78</v>
      </c>
      <c r="B14" s="136"/>
      <c r="C14" s="136"/>
      <c r="D14" s="136"/>
      <c r="E14" s="136"/>
      <c r="F14" s="136"/>
      <c r="G14" s="136"/>
      <c r="H14" s="120"/>
      <c r="I14" s="120"/>
      <c r="J14" s="120"/>
      <c r="K14" s="121"/>
    </row>
    <row r="15" spans="1:11" x14ac:dyDescent="0.2">
      <c r="A15" s="137" t="s">
        <v>79</v>
      </c>
      <c r="B15" s="136"/>
      <c r="C15" s="136"/>
      <c r="D15" s="136"/>
      <c r="E15" s="136"/>
      <c r="F15" s="136"/>
      <c r="G15" s="136"/>
      <c r="H15" s="120"/>
      <c r="I15" s="120"/>
      <c r="J15" s="120"/>
      <c r="K15" s="121"/>
    </row>
    <row r="16" spans="1:11" x14ac:dyDescent="0.2">
      <c r="A16" s="138" t="s">
        <v>80</v>
      </c>
      <c r="B16" s="139"/>
      <c r="C16" s="139"/>
      <c r="D16" s="139"/>
      <c r="E16" s="139"/>
      <c r="F16" s="120"/>
      <c r="G16" s="120"/>
      <c r="H16" s="120"/>
      <c r="I16" s="120"/>
      <c r="J16" s="120"/>
      <c r="K16" s="121"/>
    </row>
    <row r="17" spans="1:11" x14ac:dyDescent="0.2">
      <c r="A17" s="140" t="s">
        <v>81</v>
      </c>
      <c r="B17" s="139"/>
      <c r="C17" s="139"/>
      <c r="D17" s="139"/>
      <c r="E17" s="139"/>
      <c r="F17" s="120"/>
      <c r="G17" s="120"/>
      <c r="H17" s="120"/>
      <c r="I17" s="120"/>
      <c r="J17" s="120"/>
      <c r="K17" s="121"/>
    </row>
    <row r="18" spans="1:11" x14ac:dyDescent="0.2">
      <c r="A18" s="140" t="s">
        <v>82</v>
      </c>
      <c r="B18" s="139"/>
      <c r="C18" s="139"/>
      <c r="D18" s="139"/>
      <c r="E18" s="139"/>
      <c r="F18" s="120"/>
      <c r="G18" s="120"/>
      <c r="H18" s="120"/>
      <c r="I18" s="120"/>
      <c r="J18" s="120"/>
      <c r="K18" s="121"/>
    </row>
    <row r="19" spans="1:11" x14ac:dyDescent="0.2">
      <c r="A19" s="140" t="s">
        <v>83</v>
      </c>
      <c r="B19" s="139"/>
      <c r="C19" s="139"/>
      <c r="D19" s="139"/>
      <c r="E19" s="139"/>
      <c r="F19" s="120"/>
      <c r="G19" s="120"/>
      <c r="H19" s="120"/>
      <c r="I19" s="120"/>
      <c r="J19" s="120"/>
      <c r="K19" s="121"/>
    </row>
    <row r="20" spans="1:11" ht="13.5" thickBot="1" x14ac:dyDescent="0.25">
      <c r="A20" s="122"/>
      <c r="B20" s="123"/>
      <c r="C20" s="123"/>
      <c r="D20" s="123"/>
      <c r="E20" s="123"/>
      <c r="F20" s="123"/>
      <c r="G20" s="123"/>
      <c r="H20" s="123"/>
      <c r="I20" s="123"/>
      <c r="J20" s="123"/>
      <c r="K20" s="124"/>
    </row>
    <row r="21" spans="1:11" ht="14.25" thickTop="1" thickBot="1" x14ac:dyDescent="0.25">
      <c r="A21" s="384" t="s">
        <v>159</v>
      </c>
      <c r="B21" s="385"/>
      <c r="C21" s="385"/>
      <c r="D21" s="385"/>
      <c r="E21" s="385"/>
      <c r="F21" s="385"/>
      <c r="G21" s="385"/>
      <c r="H21" s="385"/>
      <c r="I21" s="385"/>
      <c r="J21" s="385"/>
      <c r="K21" s="386"/>
    </row>
    <row r="22" spans="1:11" ht="13.5" thickTop="1" x14ac:dyDescent="0.2"/>
  </sheetData>
  <mergeCells count="1">
    <mergeCell ref="A21:K21"/>
  </mergeCell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J23" sqref="J23"/>
    </sheetView>
  </sheetViews>
  <sheetFormatPr defaultRowHeight="12.75" x14ac:dyDescent="0.2"/>
  <cols>
    <col min="1" max="1" width="9.140625" style="14"/>
    <col min="2" max="2" width="10.28515625" style="14" customWidth="1"/>
    <col min="3" max="16384" width="9.140625" style="14"/>
  </cols>
  <sheetData>
    <row r="1" spans="1:9" ht="13.5" thickTop="1" x14ac:dyDescent="0.2">
      <c r="A1" s="37" t="s">
        <v>25</v>
      </c>
      <c r="B1" s="38"/>
      <c r="C1" s="38"/>
      <c r="D1" s="38"/>
      <c r="E1" s="38"/>
      <c r="F1" s="38"/>
      <c r="G1" s="38"/>
      <c r="H1" s="38"/>
      <c r="I1" s="39"/>
    </row>
    <row r="2" spans="1:9" x14ac:dyDescent="0.2">
      <c r="A2" s="40" t="s">
        <v>214</v>
      </c>
      <c r="B2" s="41"/>
      <c r="C2" s="41"/>
      <c r="D2" s="41"/>
      <c r="E2" s="41"/>
      <c r="F2" s="41"/>
      <c r="G2" s="41"/>
      <c r="H2" s="41"/>
      <c r="I2" s="42"/>
    </row>
    <row r="3" spans="1:9" ht="13.5" thickBot="1" x14ac:dyDescent="0.25">
      <c r="A3" s="40"/>
      <c r="B3" s="41"/>
      <c r="C3" s="41"/>
      <c r="D3" s="41"/>
      <c r="E3" s="41"/>
      <c r="F3" s="41"/>
      <c r="G3" s="41"/>
      <c r="H3" s="41"/>
      <c r="I3" s="42"/>
    </row>
    <row r="4" spans="1:9" ht="14.25" thickTop="1" thickBot="1" x14ac:dyDescent="0.25">
      <c r="A4" s="498" t="s">
        <v>220</v>
      </c>
      <c r="B4" s="499"/>
      <c r="C4" s="41"/>
      <c r="D4" s="41"/>
      <c r="E4" s="509" t="s">
        <v>252</v>
      </c>
      <c r="F4" s="510"/>
      <c r="G4" s="511"/>
      <c r="H4" s="41"/>
      <c r="I4" s="42"/>
    </row>
    <row r="5" spans="1:9" ht="13.5" thickBot="1" x14ac:dyDescent="0.25">
      <c r="A5" s="500"/>
      <c r="B5" s="501"/>
      <c r="C5" s="41"/>
      <c r="D5" s="41"/>
      <c r="E5" s="41"/>
      <c r="F5" s="41"/>
      <c r="G5" s="41"/>
      <c r="H5" s="41"/>
      <c r="I5" s="42"/>
    </row>
    <row r="6" spans="1:9" ht="14.25" thickTop="1" thickBot="1" x14ac:dyDescent="0.25">
      <c r="A6" s="43"/>
      <c r="B6" s="41"/>
      <c r="C6" s="41"/>
      <c r="D6" s="41"/>
      <c r="E6" s="41"/>
      <c r="F6" s="41"/>
      <c r="G6" s="41"/>
      <c r="H6" s="41"/>
      <c r="I6" s="42"/>
    </row>
    <row r="7" spans="1:9" ht="13.5" thickTop="1" x14ac:dyDescent="0.2">
      <c r="A7" s="502" t="s">
        <v>215</v>
      </c>
      <c r="B7" s="503"/>
      <c r="C7" s="41"/>
      <c r="D7" s="41"/>
      <c r="E7" s="41"/>
      <c r="F7" s="41"/>
      <c r="G7" s="41"/>
      <c r="H7" s="41"/>
      <c r="I7" s="42"/>
    </row>
    <row r="8" spans="1:9" ht="13.5" thickBot="1" x14ac:dyDescent="0.25">
      <c r="A8" s="504"/>
      <c r="B8" s="505"/>
      <c r="C8" s="41"/>
      <c r="D8" s="41"/>
      <c r="E8" s="41"/>
      <c r="F8" s="41"/>
      <c r="G8" s="41"/>
      <c r="H8" s="41"/>
      <c r="I8" s="42"/>
    </row>
    <row r="9" spans="1:9" ht="13.5" thickTop="1" x14ac:dyDescent="0.2">
      <c r="A9" s="43"/>
      <c r="B9" s="41"/>
      <c r="C9" s="41"/>
      <c r="D9" s="41"/>
      <c r="E9" s="41"/>
      <c r="F9" s="41"/>
      <c r="G9" s="41"/>
      <c r="H9" s="41"/>
      <c r="I9" s="42"/>
    </row>
    <row r="10" spans="1:9" ht="13.5" thickBot="1" x14ac:dyDescent="0.25">
      <c r="A10" s="43"/>
      <c r="B10" s="41"/>
      <c r="C10" s="41"/>
      <c r="D10" s="41"/>
      <c r="E10" s="41"/>
      <c r="F10" s="41"/>
      <c r="G10" s="41"/>
      <c r="H10" s="41"/>
      <c r="I10" s="42"/>
    </row>
    <row r="11" spans="1:9" ht="14.25" thickTop="1" thickBot="1" x14ac:dyDescent="0.25">
      <c r="A11" s="506" t="s">
        <v>216</v>
      </c>
      <c r="B11" s="507"/>
      <c r="C11" s="507"/>
      <c r="D11" s="507"/>
      <c r="E11" s="507"/>
      <c r="F11" s="507"/>
      <c r="G11" s="507"/>
      <c r="H11" s="508"/>
      <c r="I11" s="42"/>
    </row>
    <row r="12" spans="1:9" ht="13.5" thickTop="1" x14ac:dyDescent="0.2">
      <c r="A12" s="44"/>
      <c r="B12" s="36"/>
      <c r="C12" s="36"/>
      <c r="D12" s="36"/>
      <c r="E12" s="36"/>
      <c r="F12" s="36"/>
      <c r="G12" s="36"/>
      <c r="H12" s="36"/>
      <c r="I12" s="42"/>
    </row>
    <row r="13" spans="1:9" ht="13.5" thickBot="1" x14ac:dyDescent="0.25">
      <c r="A13" s="44"/>
      <c r="B13" s="36"/>
      <c r="C13" s="36"/>
      <c r="D13" s="36"/>
      <c r="E13" s="36"/>
      <c r="F13" s="36"/>
      <c r="G13" s="36"/>
      <c r="H13" s="36"/>
      <c r="I13" s="42"/>
    </row>
    <row r="14" spans="1:9" ht="14.25" thickTop="1" thickBot="1" x14ac:dyDescent="0.25">
      <c r="A14" s="495" t="s">
        <v>217</v>
      </c>
      <c r="B14" s="496"/>
      <c r="C14" s="496"/>
      <c r="D14" s="496"/>
      <c r="E14" s="496"/>
      <c r="F14" s="496"/>
      <c r="G14" s="496"/>
      <c r="H14" s="496"/>
      <c r="I14" s="497"/>
    </row>
    <row r="15" spans="1:9" ht="13.5" thickTop="1" x14ac:dyDescent="0.2">
      <c r="A15" s="44"/>
      <c r="B15" s="36"/>
      <c r="C15" s="36"/>
      <c r="D15" s="36"/>
      <c r="E15" s="36"/>
      <c r="F15" s="36"/>
      <c r="G15" s="36"/>
      <c r="H15" s="36"/>
      <c r="I15" s="42"/>
    </row>
    <row r="16" spans="1:9" x14ac:dyDescent="0.2">
      <c r="A16" s="44"/>
      <c r="B16" s="36"/>
      <c r="C16" s="36"/>
      <c r="D16" s="36"/>
      <c r="E16" s="36"/>
      <c r="F16" s="36"/>
      <c r="G16" s="36"/>
      <c r="H16" s="36"/>
      <c r="I16" s="42"/>
    </row>
    <row r="17" spans="1:9" x14ac:dyDescent="0.2">
      <c r="A17" s="44"/>
      <c r="B17" s="36"/>
      <c r="C17" s="36"/>
      <c r="D17" s="36"/>
      <c r="E17" s="36"/>
      <c r="F17" s="36"/>
      <c r="G17" s="36"/>
      <c r="H17" s="36"/>
      <c r="I17" s="42"/>
    </row>
    <row r="18" spans="1:9" x14ac:dyDescent="0.2">
      <c r="A18" s="44"/>
      <c r="B18" s="36"/>
      <c r="C18" s="36"/>
      <c r="D18" s="36"/>
      <c r="E18" s="36"/>
      <c r="F18" s="36"/>
      <c r="G18" s="36"/>
      <c r="H18" s="36"/>
      <c r="I18" s="42"/>
    </row>
    <row r="19" spans="1:9" ht="13.5" thickBot="1" x14ac:dyDescent="0.25">
      <c r="A19" s="44"/>
      <c r="B19" s="36"/>
      <c r="C19" s="36"/>
      <c r="D19" s="36"/>
      <c r="E19" s="36"/>
      <c r="F19" s="36"/>
      <c r="G19" s="36"/>
      <c r="H19" s="36"/>
      <c r="I19" s="42"/>
    </row>
    <row r="20" spans="1:9" ht="14.25" thickTop="1" thickBot="1" x14ac:dyDescent="0.25">
      <c r="A20" s="491" t="s">
        <v>115</v>
      </c>
      <c r="B20" s="492"/>
      <c r="C20" s="492"/>
      <c r="D20" s="492"/>
      <c r="E20" s="493"/>
      <c r="F20" s="493"/>
      <c r="G20" s="493"/>
      <c r="H20" s="493"/>
      <c r="I20" s="494"/>
    </row>
    <row r="21" spans="1:9" ht="13.5" thickTop="1" x14ac:dyDescent="0.2"/>
  </sheetData>
  <mergeCells count="6">
    <mergeCell ref="A20:I20"/>
    <mergeCell ref="A14:I14"/>
    <mergeCell ref="A4:B5"/>
    <mergeCell ref="A7:B8"/>
    <mergeCell ref="A11:H11"/>
    <mergeCell ref="E4:G4"/>
  </mergeCells>
  <phoneticPr fontId="3"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C14" sqref="C14"/>
    </sheetView>
  </sheetViews>
  <sheetFormatPr defaultRowHeight="11.25" x14ac:dyDescent="0.2"/>
  <cols>
    <col min="1" max="1" width="14" style="58" customWidth="1"/>
    <col min="2" max="2" width="12.42578125" style="57" customWidth="1"/>
    <col min="3" max="3" width="14.85546875" style="57" customWidth="1"/>
    <col min="4" max="4" width="12.42578125" style="57" customWidth="1"/>
    <col min="5" max="5" width="12.85546875" style="57" customWidth="1"/>
    <col min="6" max="16384" width="9.140625" style="57"/>
  </cols>
  <sheetData>
    <row r="1" spans="1:9" s="56" customFormat="1" ht="24" customHeight="1" thickTop="1" x14ac:dyDescent="0.2">
      <c r="A1" s="60" t="s">
        <v>94</v>
      </c>
      <c r="B1" s="61" t="s">
        <v>95</v>
      </c>
      <c r="C1" s="205" t="s">
        <v>96</v>
      </c>
      <c r="D1" s="61" t="s">
        <v>97</v>
      </c>
      <c r="E1" s="61" t="s">
        <v>98</v>
      </c>
      <c r="F1" s="512" t="s">
        <v>245</v>
      </c>
      <c r="G1" s="513"/>
      <c r="H1" s="513"/>
      <c r="I1" s="514"/>
    </row>
    <row r="2" spans="1:9" ht="12" x14ac:dyDescent="0.2">
      <c r="A2" s="62">
        <v>100</v>
      </c>
      <c r="B2" s="63">
        <v>200</v>
      </c>
      <c r="C2" s="206">
        <f t="shared" ref="C2:C11" si="0">B2-A2</f>
        <v>100</v>
      </c>
      <c r="D2" s="64">
        <f t="shared" ref="D2:D11" si="1">C2/A2</f>
        <v>1</v>
      </c>
      <c r="E2" s="64">
        <f t="shared" ref="E2:E11" si="2">C2/B2</f>
        <v>0.5</v>
      </c>
      <c r="F2" s="58"/>
    </row>
    <row r="3" spans="1:9" ht="12" x14ac:dyDescent="0.2">
      <c r="A3" s="62">
        <v>100</v>
      </c>
      <c r="B3" s="63">
        <f>B2-10</f>
        <v>190</v>
      </c>
      <c r="C3" s="206">
        <f t="shared" si="0"/>
        <v>90</v>
      </c>
      <c r="D3" s="64">
        <f t="shared" si="1"/>
        <v>0.9</v>
      </c>
      <c r="E3" s="64">
        <f t="shared" si="2"/>
        <v>0.47368421052631576</v>
      </c>
      <c r="F3" s="58"/>
    </row>
    <row r="4" spans="1:9" ht="12" x14ac:dyDescent="0.2">
      <c r="A4" s="62">
        <v>100</v>
      </c>
      <c r="B4" s="63">
        <f t="shared" ref="B4:B10" si="3">B3-10</f>
        <v>180</v>
      </c>
      <c r="C4" s="206">
        <f t="shared" si="0"/>
        <v>80</v>
      </c>
      <c r="D4" s="64">
        <f t="shared" si="1"/>
        <v>0.8</v>
      </c>
      <c r="E4" s="64">
        <f t="shared" si="2"/>
        <v>0.44444444444444442</v>
      </c>
      <c r="F4" s="58"/>
    </row>
    <row r="5" spans="1:9" ht="12" x14ac:dyDescent="0.2">
      <c r="A5" s="62">
        <v>100</v>
      </c>
      <c r="B5" s="63">
        <f t="shared" si="3"/>
        <v>170</v>
      </c>
      <c r="C5" s="206">
        <f t="shared" si="0"/>
        <v>70</v>
      </c>
      <c r="D5" s="64">
        <f t="shared" si="1"/>
        <v>0.7</v>
      </c>
      <c r="E5" s="64">
        <f t="shared" si="2"/>
        <v>0.41176470588235292</v>
      </c>
      <c r="F5" s="58"/>
    </row>
    <row r="6" spans="1:9" ht="12" x14ac:dyDescent="0.2">
      <c r="A6" s="62">
        <v>100</v>
      </c>
      <c r="B6" s="63">
        <f t="shared" si="3"/>
        <v>160</v>
      </c>
      <c r="C6" s="206">
        <f t="shared" si="0"/>
        <v>60</v>
      </c>
      <c r="D6" s="64">
        <f t="shared" si="1"/>
        <v>0.6</v>
      </c>
      <c r="E6" s="64">
        <f t="shared" si="2"/>
        <v>0.375</v>
      </c>
      <c r="F6" s="58"/>
    </row>
    <row r="7" spans="1:9" ht="12" x14ac:dyDescent="0.2">
      <c r="A7" s="62">
        <v>100</v>
      </c>
      <c r="B7" s="63">
        <f t="shared" si="3"/>
        <v>150</v>
      </c>
      <c r="C7" s="206">
        <f t="shared" si="0"/>
        <v>50</v>
      </c>
      <c r="D7" s="64">
        <f t="shared" si="1"/>
        <v>0.5</v>
      </c>
      <c r="E7" s="64">
        <f t="shared" si="2"/>
        <v>0.33333333333333331</v>
      </c>
      <c r="F7" s="58"/>
    </row>
    <row r="8" spans="1:9" ht="12" x14ac:dyDescent="0.2">
      <c r="A8" s="62">
        <v>100</v>
      </c>
      <c r="B8" s="63">
        <f t="shared" si="3"/>
        <v>140</v>
      </c>
      <c r="C8" s="206">
        <f t="shared" si="0"/>
        <v>40</v>
      </c>
      <c r="D8" s="64">
        <f t="shared" si="1"/>
        <v>0.4</v>
      </c>
      <c r="E8" s="64">
        <f t="shared" si="2"/>
        <v>0.2857142857142857</v>
      </c>
      <c r="F8" s="58"/>
    </row>
    <row r="9" spans="1:9" ht="12" x14ac:dyDescent="0.2">
      <c r="A9" s="62">
        <v>100</v>
      </c>
      <c r="B9" s="63">
        <f t="shared" si="3"/>
        <v>130</v>
      </c>
      <c r="C9" s="206">
        <f t="shared" si="0"/>
        <v>30</v>
      </c>
      <c r="D9" s="64">
        <f t="shared" si="1"/>
        <v>0.3</v>
      </c>
      <c r="E9" s="64">
        <f t="shared" si="2"/>
        <v>0.23076923076923078</v>
      </c>
      <c r="F9" s="58"/>
    </row>
    <row r="10" spans="1:9" ht="12" x14ac:dyDescent="0.2">
      <c r="A10" s="62">
        <v>100</v>
      </c>
      <c r="B10" s="63">
        <f t="shared" si="3"/>
        <v>120</v>
      </c>
      <c r="C10" s="206">
        <f t="shared" si="0"/>
        <v>20</v>
      </c>
      <c r="D10" s="64">
        <f t="shared" si="1"/>
        <v>0.2</v>
      </c>
      <c r="E10" s="64">
        <f t="shared" si="2"/>
        <v>0.16666666666666666</v>
      </c>
      <c r="F10" s="58"/>
    </row>
    <row r="11" spans="1:9" ht="12" x14ac:dyDescent="0.2">
      <c r="A11" s="62">
        <v>100</v>
      </c>
      <c r="B11" s="63">
        <f>B10-10</f>
        <v>110</v>
      </c>
      <c r="C11" s="206">
        <f t="shared" si="0"/>
        <v>10</v>
      </c>
      <c r="D11" s="64">
        <f t="shared" si="1"/>
        <v>0.1</v>
      </c>
      <c r="E11" s="64">
        <f t="shared" si="2"/>
        <v>9.0909090909090912E-2</v>
      </c>
      <c r="F11" s="58"/>
    </row>
    <row r="12" spans="1:9" ht="22.5" customHeight="1" x14ac:dyDescent="0.2">
      <c r="A12" s="207" t="s">
        <v>94</v>
      </c>
      <c r="B12" s="208" t="s">
        <v>97</v>
      </c>
      <c r="C12" s="209" t="s">
        <v>95</v>
      </c>
      <c r="D12" s="208" t="s">
        <v>98</v>
      </c>
      <c r="E12" s="209" t="s">
        <v>95</v>
      </c>
      <c r="F12" s="512" t="s">
        <v>244</v>
      </c>
      <c r="G12" s="513"/>
      <c r="H12" s="513"/>
      <c r="I12" s="514"/>
    </row>
    <row r="13" spans="1:9" ht="12" x14ac:dyDescent="0.2">
      <c r="A13" s="62">
        <v>100</v>
      </c>
      <c r="B13" s="64">
        <v>1</v>
      </c>
      <c r="C13" s="63">
        <f>A13+A13*B13</f>
        <v>200</v>
      </c>
      <c r="D13" s="64">
        <v>0.5</v>
      </c>
      <c r="E13" s="65">
        <f>A13/(1-D13)</f>
        <v>200</v>
      </c>
      <c r="F13" s="58"/>
    </row>
    <row r="14" spans="1:9" ht="12" x14ac:dyDescent="0.2">
      <c r="A14" s="62">
        <v>100</v>
      </c>
      <c r="B14" s="64">
        <v>0.9</v>
      </c>
      <c r="C14" s="63">
        <f t="shared" ref="C14:C22" si="4">A14+A14*B14</f>
        <v>190</v>
      </c>
      <c r="D14" s="64">
        <v>0.47370000000000001</v>
      </c>
      <c r="E14" s="65">
        <f t="shared" ref="E14:E22" si="5">A14/(1-D14)</f>
        <v>190.00570017100515</v>
      </c>
      <c r="F14" s="58"/>
    </row>
    <row r="15" spans="1:9" ht="12" x14ac:dyDescent="0.2">
      <c r="A15" s="62">
        <v>100</v>
      </c>
      <c r="B15" s="64">
        <v>0.8</v>
      </c>
      <c r="C15" s="63">
        <f t="shared" si="4"/>
        <v>180</v>
      </c>
      <c r="D15" s="64">
        <v>0.44440000000000002</v>
      </c>
      <c r="E15" s="65">
        <f t="shared" si="5"/>
        <v>179.98560115190784</v>
      </c>
      <c r="F15" s="58"/>
    </row>
    <row r="16" spans="1:9" ht="12" x14ac:dyDescent="0.2">
      <c r="A16" s="62">
        <v>100</v>
      </c>
      <c r="B16" s="64">
        <v>0.7</v>
      </c>
      <c r="C16" s="63">
        <f t="shared" si="4"/>
        <v>170</v>
      </c>
      <c r="D16" s="64">
        <v>0.4118</v>
      </c>
      <c r="E16" s="65">
        <f t="shared" si="5"/>
        <v>170.0102006120367</v>
      </c>
      <c r="F16" s="58"/>
    </row>
    <row r="17" spans="1:6" ht="12" x14ac:dyDescent="0.2">
      <c r="A17" s="62">
        <v>100</v>
      </c>
      <c r="B17" s="64">
        <v>0.6</v>
      </c>
      <c r="C17" s="63">
        <f t="shared" si="4"/>
        <v>160</v>
      </c>
      <c r="D17" s="64">
        <v>0.375</v>
      </c>
      <c r="E17" s="65">
        <f t="shared" si="5"/>
        <v>160</v>
      </c>
      <c r="F17" s="58"/>
    </row>
    <row r="18" spans="1:6" ht="12" x14ac:dyDescent="0.2">
      <c r="A18" s="62">
        <v>100</v>
      </c>
      <c r="B18" s="64">
        <v>0.5</v>
      </c>
      <c r="C18" s="63">
        <f t="shared" si="4"/>
        <v>150</v>
      </c>
      <c r="D18" s="64">
        <v>0.33329999999999999</v>
      </c>
      <c r="E18" s="65">
        <f t="shared" si="5"/>
        <v>149.99250037498123</v>
      </c>
      <c r="F18" s="58"/>
    </row>
    <row r="19" spans="1:6" ht="12" x14ac:dyDescent="0.2">
      <c r="A19" s="62">
        <v>100</v>
      </c>
      <c r="B19" s="64">
        <v>0.4</v>
      </c>
      <c r="C19" s="63">
        <f t="shared" si="4"/>
        <v>140</v>
      </c>
      <c r="D19" s="64">
        <v>0.28570000000000001</v>
      </c>
      <c r="E19" s="65">
        <f t="shared" si="5"/>
        <v>139.99720005599889</v>
      </c>
      <c r="F19" s="58"/>
    </row>
    <row r="20" spans="1:6" ht="12" x14ac:dyDescent="0.2">
      <c r="A20" s="62">
        <v>100</v>
      </c>
      <c r="B20" s="64">
        <v>0.3</v>
      </c>
      <c r="C20" s="63">
        <f t="shared" si="4"/>
        <v>130</v>
      </c>
      <c r="D20" s="64">
        <v>0.23080000000000001</v>
      </c>
      <c r="E20" s="65">
        <f t="shared" si="5"/>
        <v>130.00520020800832</v>
      </c>
      <c r="F20" s="58"/>
    </row>
    <row r="21" spans="1:6" ht="12" x14ac:dyDescent="0.2">
      <c r="A21" s="62">
        <v>100</v>
      </c>
      <c r="B21" s="64">
        <v>0.2</v>
      </c>
      <c r="C21" s="63">
        <f t="shared" si="4"/>
        <v>120</v>
      </c>
      <c r="D21" s="64">
        <v>0.16669999999999999</v>
      </c>
      <c r="E21" s="65">
        <f t="shared" si="5"/>
        <v>120.00480019200768</v>
      </c>
      <c r="F21" s="58"/>
    </row>
    <row r="22" spans="1:6" ht="12.75" thickBot="1" x14ac:dyDescent="0.25">
      <c r="A22" s="66">
        <v>100</v>
      </c>
      <c r="B22" s="67">
        <v>0.1</v>
      </c>
      <c r="C22" s="68">
        <f t="shared" si="4"/>
        <v>110</v>
      </c>
      <c r="D22" s="67">
        <v>9.0899999999999995E-2</v>
      </c>
      <c r="E22" s="69">
        <f t="shared" si="5"/>
        <v>109.99890001099989</v>
      </c>
      <c r="F22" s="58"/>
    </row>
    <row r="23" spans="1:6" ht="12" thickTop="1" x14ac:dyDescent="0.2">
      <c r="A23" s="59"/>
      <c r="B23" s="56"/>
      <c r="C23" s="56"/>
      <c r="D23" s="56"/>
      <c r="E23" s="56"/>
    </row>
  </sheetData>
  <mergeCells count="2">
    <mergeCell ref="F12:I12"/>
    <mergeCell ref="F1:I1"/>
  </mergeCells>
  <phoneticPr fontId="3"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workbookViewId="0">
      <selection activeCell="F14" sqref="F14"/>
    </sheetView>
  </sheetViews>
  <sheetFormatPr defaultRowHeight="12" x14ac:dyDescent="0.2"/>
  <cols>
    <col min="1" max="1" width="18.28515625" style="72" customWidth="1"/>
    <col min="2" max="2" width="9.140625" style="72"/>
    <col min="3" max="3" width="10" style="72" bestFit="1" customWidth="1"/>
    <col min="4" max="16384" width="9.140625" style="72"/>
  </cols>
  <sheetData>
    <row r="1" spans="1:4" x14ac:dyDescent="0.2">
      <c r="A1" s="71" t="s">
        <v>99</v>
      </c>
    </row>
    <row r="2" spans="1:4" x14ac:dyDescent="0.2">
      <c r="A2" s="73" t="s">
        <v>100</v>
      </c>
    </row>
    <row r="3" spans="1:4" x14ac:dyDescent="0.2">
      <c r="A3" s="72" t="s">
        <v>101</v>
      </c>
    </row>
    <row r="5" spans="1:4" x14ac:dyDescent="0.2">
      <c r="A5" s="74" t="s">
        <v>102</v>
      </c>
      <c r="B5" s="75" t="s">
        <v>103</v>
      </c>
      <c r="C5" s="76" t="s">
        <v>104</v>
      </c>
    </row>
    <row r="6" spans="1:4" ht="15.95" customHeight="1" x14ac:dyDescent="0.2">
      <c r="A6" s="77" t="s">
        <v>105</v>
      </c>
      <c r="B6" s="77">
        <v>537</v>
      </c>
      <c r="C6" s="78">
        <f>B6/$B$16</f>
        <v>0.47022767075306482</v>
      </c>
      <c r="D6" s="79"/>
    </row>
    <row r="7" spans="1:4" ht="15.95" customHeight="1" x14ac:dyDescent="0.2">
      <c r="A7" s="77" t="s">
        <v>106</v>
      </c>
      <c r="B7" s="77">
        <v>338</v>
      </c>
      <c r="C7" s="78">
        <f t="shared" ref="C7:C15" si="0">B7/$B$16</f>
        <v>0.29597197898423816</v>
      </c>
      <c r="D7" s="80"/>
    </row>
    <row r="8" spans="1:4" ht="15.95" customHeight="1" x14ac:dyDescent="0.2">
      <c r="A8" s="77" t="s">
        <v>107</v>
      </c>
      <c r="B8" s="77">
        <v>108</v>
      </c>
      <c r="C8" s="78">
        <f t="shared" si="0"/>
        <v>9.4570928196147111E-2</v>
      </c>
      <c r="D8" s="81"/>
    </row>
    <row r="9" spans="1:4" ht="15.95" customHeight="1" x14ac:dyDescent="0.2">
      <c r="A9" s="77" t="s">
        <v>108</v>
      </c>
      <c r="B9" s="77">
        <v>57</v>
      </c>
      <c r="C9" s="78">
        <f t="shared" si="0"/>
        <v>4.9912434325744305E-2</v>
      </c>
      <c r="D9" s="81"/>
    </row>
    <row r="10" spans="1:4" ht="15.95" customHeight="1" x14ac:dyDescent="0.2">
      <c r="A10" s="77" t="s">
        <v>109</v>
      </c>
      <c r="B10" s="77">
        <v>40</v>
      </c>
      <c r="C10" s="78">
        <f t="shared" si="0"/>
        <v>3.5026269702276708E-2</v>
      </c>
      <c r="D10" s="81"/>
    </row>
    <row r="11" spans="1:4" ht="15.95" customHeight="1" x14ac:dyDescent="0.2">
      <c r="A11" s="77" t="s">
        <v>110</v>
      </c>
      <c r="B11" s="77">
        <v>33</v>
      </c>
      <c r="C11" s="78">
        <f t="shared" si="0"/>
        <v>2.8896672504378284E-2</v>
      </c>
      <c r="D11" s="81"/>
    </row>
    <row r="12" spans="1:4" ht="15.95" customHeight="1" x14ac:dyDescent="0.2">
      <c r="A12" s="77" t="s">
        <v>111</v>
      </c>
      <c r="B12" s="77">
        <v>10</v>
      </c>
      <c r="C12" s="78">
        <f t="shared" si="0"/>
        <v>8.7565674255691769E-3</v>
      </c>
      <c r="D12" s="81"/>
    </row>
    <row r="13" spans="1:4" ht="15.95" customHeight="1" x14ac:dyDescent="0.2">
      <c r="A13" s="77" t="s">
        <v>112</v>
      </c>
      <c r="B13" s="77">
        <v>8</v>
      </c>
      <c r="C13" s="78">
        <f t="shared" si="0"/>
        <v>7.0052539404553416E-3</v>
      </c>
      <c r="D13" s="80"/>
    </row>
    <row r="14" spans="1:4" ht="15.95" customHeight="1" x14ac:dyDescent="0.2">
      <c r="A14" s="77" t="s">
        <v>113</v>
      </c>
      <c r="B14" s="77">
        <v>7</v>
      </c>
      <c r="C14" s="78">
        <f t="shared" si="0"/>
        <v>6.1295971978984239E-3</v>
      </c>
      <c r="D14" s="80"/>
    </row>
    <row r="15" spans="1:4" ht="15.95" customHeight="1" x14ac:dyDescent="0.2">
      <c r="A15" s="77" t="s">
        <v>114</v>
      </c>
      <c r="B15" s="77">
        <v>4</v>
      </c>
      <c r="C15" s="78">
        <f t="shared" si="0"/>
        <v>3.5026269702276708E-3</v>
      </c>
      <c r="D15" s="80"/>
    </row>
    <row r="16" spans="1:4" x14ac:dyDescent="0.2">
      <c r="A16" s="82" t="s">
        <v>45</v>
      </c>
      <c r="B16" s="210">
        <f>SUM(B6:B15)</f>
        <v>1142</v>
      </c>
      <c r="C16" s="210">
        <f>SUM(C6:C15)</f>
        <v>1</v>
      </c>
    </row>
  </sheetData>
  <phoneticPr fontId="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C25" sqref="C25"/>
    </sheetView>
  </sheetViews>
  <sheetFormatPr defaultRowHeight="12.75" x14ac:dyDescent="0.2"/>
  <sheetData>
    <row r="1" spans="1:10" ht="13.5" thickTop="1" x14ac:dyDescent="0.2">
      <c r="A1" s="20" t="s">
        <v>202</v>
      </c>
      <c r="B1" s="21"/>
      <c r="C1" s="21"/>
      <c r="D1" s="21"/>
      <c r="E1" s="21"/>
      <c r="F1" s="21"/>
      <c r="G1" s="21"/>
      <c r="H1" s="21"/>
      <c r="I1" s="22"/>
    </row>
    <row r="2" spans="1:10" x14ac:dyDescent="0.2">
      <c r="A2" s="23"/>
      <c r="B2" s="18"/>
      <c r="C2" s="18"/>
      <c r="D2" s="18"/>
      <c r="E2" s="18"/>
      <c r="F2" s="18"/>
      <c r="G2" s="18"/>
      <c r="H2" s="18"/>
      <c r="I2" s="24"/>
    </row>
    <row r="3" spans="1:10" x14ac:dyDescent="0.2">
      <c r="A3" s="518" t="s">
        <v>55</v>
      </c>
      <c r="B3" s="519"/>
      <c r="C3" s="519"/>
      <c r="D3" s="519"/>
      <c r="E3" s="519"/>
      <c r="F3" s="519"/>
      <c r="G3" s="519"/>
      <c r="H3" s="519"/>
      <c r="I3" s="520"/>
    </row>
    <row r="4" spans="1:10" x14ac:dyDescent="0.2">
      <c r="A4" s="521" t="s">
        <v>56</v>
      </c>
      <c r="B4" s="522"/>
      <c r="C4" s="522"/>
      <c r="D4" s="522"/>
      <c r="E4" s="522"/>
      <c r="F4" s="522"/>
      <c r="G4" s="522"/>
      <c r="H4" s="522"/>
      <c r="I4" s="523"/>
    </row>
    <row r="5" spans="1:10" x14ac:dyDescent="0.2">
      <c r="A5" s="25"/>
      <c r="B5" s="18"/>
      <c r="C5" s="18"/>
      <c r="D5" s="18"/>
      <c r="E5" s="18"/>
      <c r="F5" s="18"/>
      <c r="G5" s="18"/>
      <c r="H5" s="18"/>
      <c r="I5" s="24"/>
    </row>
    <row r="6" spans="1:10" x14ac:dyDescent="0.2">
      <c r="A6" s="524" t="s">
        <v>57</v>
      </c>
      <c r="B6" s="525"/>
      <c r="C6" s="526"/>
      <c r="D6" s="18"/>
      <c r="E6" s="18"/>
      <c r="F6" s="18"/>
      <c r="G6" s="18"/>
      <c r="H6" s="18"/>
      <c r="I6" s="24"/>
    </row>
    <row r="7" spans="1:10" x14ac:dyDescent="0.2">
      <c r="A7" s="527"/>
      <c r="B7" s="528"/>
      <c r="C7" s="529"/>
      <c r="D7" s="18"/>
      <c r="E7" s="18"/>
      <c r="F7" s="18"/>
      <c r="G7" s="18"/>
      <c r="H7" s="18"/>
      <c r="I7" s="24"/>
    </row>
    <row r="8" spans="1:10" x14ac:dyDescent="0.2">
      <c r="A8" s="26"/>
      <c r="B8" s="18"/>
      <c r="C8" s="18"/>
      <c r="D8" s="18"/>
      <c r="E8" s="18"/>
      <c r="F8" s="18"/>
      <c r="G8" s="18"/>
      <c r="H8" s="18"/>
      <c r="I8" s="24"/>
    </row>
    <row r="9" spans="1:10" x14ac:dyDescent="0.2">
      <c r="A9" s="530" t="s">
        <v>29</v>
      </c>
      <c r="B9" s="531"/>
      <c r="C9" s="531"/>
      <c r="D9" s="531"/>
      <c r="E9" s="531"/>
      <c r="F9" s="531"/>
      <c r="G9" s="531"/>
      <c r="H9" s="532"/>
      <c r="I9" s="24"/>
    </row>
    <row r="10" spans="1:10" x14ac:dyDescent="0.2">
      <c r="A10" s="533"/>
      <c r="B10" s="534"/>
      <c r="C10" s="534"/>
      <c r="D10" s="534"/>
      <c r="E10" s="534"/>
      <c r="F10" s="534"/>
      <c r="G10" s="534"/>
      <c r="H10" s="535"/>
      <c r="I10" s="24"/>
    </row>
    <row r="11" spans="1:10" x14ac:dyDescent="0.2">
      <c r="A11" s="26"/>
      <c r="B11" s="18"/>
      <c r="C11" s="18"/>
      <c r="D11" s="18"/>
      <c r="E11" s="18"/>
      <c r="F11" s="18"/>
      <c r="G11" s="18"/>
      <c r="H11" s="18"/>
      <c r="I11" s="24"/>
    </row>
    <row r="12" spans="1:10" x14ac:dyDescent="0.2">
      <c r="A12" s="536" t="s">
        <v>30</v>
      </c>
      <c r="B12" s="537"/>
      <c r="C12" s="537"/>
      <c r="D12" s="537"/>
      <c r="E12" s="537"/>
      <c r="F12" s="537"/>
      <c r="G12" s="537"/>
      <c r="H12" s="538"/>
      <c r="I12" s="24"/>
    </row>
    <row r="13" spans="1:10" x14ac:dyDescent="0.2">
      <c r="A13" s="539"/>
      <c r="B13" s="540"/>
      <c r="C13" s="540"/>
      <c r="D13" s="540"/>
      <c r="E13" s="540"/>
      <c r="F13" s="540"/>
      <c r="G13" s="540"/>
      <c r="H13" s="541"/>
      <c r="I13" s="24"/>
    </row>
    <row r="14" spans="1:10" ht="13.5" thickBot="1" x14ac:dyDescent="0.25">
      <c r="A14" s="26"/>
      <c r="B14" s="18"/>
      <c r="C14" s="18"/>
      <c r="D14" s="18"/>
      <c r="E14" s="18"/>
      <c r="F14" s="18"/>
      <c r="G14" s="18"/>
      <c r="H14" s="18"/>
      <c r="I14" s="24"/>
    </row>
    <row r="15" spans="1:10" ht="13.5" thickTop="1" x14ac:dyDescent="0.2">
      <c r="A15" s="542" t="s">
        <v>31</v>
      </c>
      <c r="B15" s="543"/>
      <c r="C15" s="543"/>
      <c r="D15" s="543"/>
      <c r="E15" s="543"/>
      <c r="F15" s="543"/>
      <c r="G15" s="543"/>
      <c r="H15" s="544"/>
      <c r="I15" s="24"/>
    </row>
    <row r="16" spans="1:10" ht="13.5" thickBot="1" x14ac:dyDescent="0.25">
      <c r="A16" s="515" t="s">
        <v>20</v>
      </c>
      <c r="B16" s="516"/>
      <c r="C16" s="516"/>
      <c r="D16" s="516"/>
      <c r="E16" s="516"/>
      <c r="F16" s="516"/>
      <c r="G16" s="516"/>
      <c r="H16" s="517"/>
      <c r="I16" s="24"/>
      <c r="J16" s="17"/>
    </row>
    <row r="17" spans="1:9" ht="13.5" thickTop="1" x14ac:dyDescent="0.2">
      <c r="A17" s="27"/>
      <c r="B17" s="19"/>
      <c r="C17" s="19"/>
      <c r="D17" s="19"/>
      <c r="E17" s="19"/>
      <c r="F17" s="19"/>
      <c r="G17" s="19"/>
      <c r="H17" s="19"/>
      <c r="I17" s="28"/>
    </row>
    <row r="18" spans="1:9" ht="13.5" thickBot="1" x14ac:dyDescent="0.25">
      <c r="A18" s="27"/>
      <c r="B18" s="19"/>
      <c r="C18" s="19"/>
      <c r="D18" s="19"/>
      <c r="E18" s="19"/>
      <c r="F18" s="19"/>
      <c r="G18" s="19"/>
      <c r="H18" s="19"/>
      <c r="I18" s="28"/>
    </row>
    <row r="19" spans="1:9" ht="14.25" thickTop="1" thickBot="1" x14ac:dyDescent="0.25">
      <c r="A19" s="491" t="s">
        <v>201</v>
      </c>
      <c r="B19" s="492"/>
      <c r="C19" s="492"/>
      <c r="D19" s="492"/>
      <c r="E19" s="493"/>
      <c r="F19" s="493"/>
      <c r="G19" s="493"/>
      <c r="H19" s="493"/>
      <c r="I19" s="494"/>
    </row>
    <row r="20" spans="1:9" ht="13.5" thickTop="1" x14ac:dyDescent="0.2"/>
  </sheetData>
  <mergeCells count="8">
    <mergeCell ref="A16:H16"/>
    <mergeCell ref="A19:I19"/>
    <mergeCell ref="A3:I3"/>
    <mergeCell ref="A4:I4"/>
    <mergeCell ref="A6:C7"/>
    <mergeCell ref="A9:H10"/>
    <mergeCell ref="A12:H13"/>
    <mergeCell ref="A15:H15"/>
  </mergeCells>
  <phoneticPr fontId="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B8" sqref="B8"/>
    </sheetView>
  </sheetViews>
  <sheetFormatPr defaultRowHeight="12.75" x14ac:dyDescent="0.2"/>
  <cols>
    <col min="1" max="1" width="18.140625" style="185" customWidth="1"/>
    <col min="2" max="2" width="12.7109375" style="169" customWidth="1"/>
    <col min="3" max="3" width="9.28515625" style="169" customWidth="1"/>
    <col min="4" max="4" width="15" style="169" customWidth="1"/>
    <col min="5" max="5" width="15.5703125" style="169" customWidth="1"/>
    <col min="6" max="6" width="11.42578125" style="169" customWidth="1"/>
    <col min="7" max="7" width="5.7109375" style="169" customWidth="1"/>
    <col min="8" max="16384" width="9.140625" style="169"/>
  </cols>
  <sheetData>
    <row r="1" spans="1:6" s="166" customFormat="1" x14ac:dyDescent="0.2">
      <c r="A1" s="545" t="s">
        <v>186</v>
      </c>
      <c r="B1" s="546"/>
      <c r="C1" s="546"/>
      <c r="D1" s="546"/>
      <c r="E1" s="546"/>
    </row>
    <row r="2" spans="1:6" x14ac:dyDescent="0.2">
      <c r="A2" s="167" t="s">
        <v>187</v>
      </c>
      <c r="B2" s="168"/>
    </row>
    <row r="3" spans="1:6" ht="13.5" thickBot="1" x14ac:dyDescent="0.25">
      <c r="A3" s="170" t="s">
        <v>188</v>
      </c>
      <c r="B3" s="171">
        <v>10000</v>
      </c>
    </row>
    <row r="4" spans="1:6" ht="13.5" thickBot="1" x14ac:dyDescent="0.25">
      <c r="A4" s="170" t="s">
        <v>189</v>
      </c>
      <c r="B4" s="171">
        <v>400</v>
      </c>
    </row>
    <row r="5" spans="1:6" x14ac:dyDescent="0.2">
      <c r="A5" s="172" t="s">
        <v>190</v>
      </c>
      <c r="B5" s="171">
        <v>500</v>
      </c>
    </row>
    <row r="6" spans="1:6" ht="13.5" thickBot="1" x14ac:dyDescent="0.25">
      <c r="A6" s="547" t="s">
        <v>191</v>
      </c>
      <c r="B6" s="548"/>
      <c r="C6" s="548"/>
      <c r="D6" s="548"/>
      <c r="E6" s="548"/>
      <c r="F6" s="548"/>
    </row>
    <row r="7" spans="1:6" ht="13.5" thickTop="1" x14ac:dyDescent="0.2">
      <c r="A7" s="173" t="s">
        <v>192</v>
      </c>
      <c r="B7" s="213">
        <f>B3/(B5-B4)</f>
        <v>100</v>
      </c>
    </row>
    <row r="8" spans="1:6" ht="13.5" thickBot="1" x14ac:dyDescent="0.25">
      <c r="A8" s="175" t="s">
        <v>193</v>
      </c>
      <c r="B8" s="214">
        <f>B3/(1-(B4/B5))</f>
        <v>50000.000000000015</v>
      </c>
    </row>
    <row r="9" spans="1:6" ht="13.5" thickTop="1" x14ac:dyDescent="0.2">
      <c r="A9" s="177" t="s">
        <v>194</v>
      </c>
      <c r="B9" s="178" t="s">
        <v>195</v>
      </c>
      <c r="C9" s="179" t="s">
        <v>196</v>
      </c>
      <c r="D9" s="179" t="s">
        <v>197</v>
      </c>
      <c r="E9" s="180" t="s">
        <v>198</v>
      </c>
      <c r="F9" s="179" t="s">
        <v>199</v>
      </c>
    </row>
    <row r="10" spans="1:6" x14ac:dyDescent="0.2">
      <c r="A10" s="181">
        <v>0</v>
      </c>
      <c r="B10" s="182">
        <f>$B$5*A10</f>
        <v>0</v>
      </c>
      <c r="C10" s="182">
        <f>$B$3</f>
        <v>10000</v>
      </c>
      <c r="D10" s="182">
        <f>$B$4*A10</f>
        <v>0</v>
      </c>
      <c r="E10" s="182">
        <f>D10+C10</f>
        <v>10000</v>
      </c>
      <c r="F10" s="182">
        <f>B10-E10</f>
        <v>-10000</v>
      </c>
    </row>
    <row r="11" spans="1:6" x14ac:dyDescent="0.2">
      <c r="A11" s="181">
        <f>(2*$B$7)*0.1</f>
        <v>20</v>
      </c>
      <c r="B11" s="182">
        <f>$B$5*A11</f>
        <v>10000</v>
      </c>
      <c r="C11" s="182">
        <f t="shared" ref="C11:C20" si="0">$B$3</f>
        <v>10000</v>
      </c>
      <c r="D11" s="182">
        <f>$B$4*A11</f>
        <v>8000</v>
      </c>
      <c r="E11" s="182">
        <f>D11+C11</f>
        <v>18000</v>
      </c>
      <c r="F11" s="182">
        <f>B11-E11</f>
        <v>-8000</v>
      </c>
    </row>
    <row r="12" spans="1:6" x14ac:dyDescent="0.2">
      <c r="A12" s="181">
        <f>(2*$B$7)*0.2</f>
        <v>40</v>
      </c>
      <c r="B12" s="182">
        <f>$B$5*A12</f>
        <v>20000</v>
      </c>
      <c r="C12" s="182">
        <f t="shared" si="0"/>
        <v>10000</v>
      </c>
      <c r="D12" s="182">
        <f>$B$4*A12</f>
        <v>16000</v>
      </c>
      <c r="E12" s="182">
        <f>D12+C12</f>
        <v>26000</v>
      </c>
      <c r="F12" s="182">
        <f>B12-E12</f>
        <v>-6000</v>
      </c>
    </row>
    <row r="13" spans="1:6" x14ac:dyDescent="0.2">
      <c r="A13" s="181">
        <f>(2*$B$7)*0.3</f>
        <v>60</v>
      </c>
      <c r="B13" s="182">
        <f t="shared" ref="B13:B20" si="1">$B$5*A13</f>
        <v>30000</v>
      </c>
      <c r="C13" s="182">
        <f t="shared" si="0"/>
        <v>10000</v>
      </c>
      <c r="D13" s="182">
        <f t="shared" ref="D13:D20" si="2">$B$4*A13</f>
        <v>24000</v>
      </c>
      <c r="E13" s="182">
        <f t="shared" ref="E13:E20" si="3">D13+C13</f>
        <v>34000</v>
      </c>
      <c r="F13" s="182">
        <f t="shared" ref="F13:F20" si="4">B13-E13</f>
        <v>-4000</v>
      </c>
    </row>
    <row r="14" spans="1:6" x14ac:dyDescent="0.2">
      <c r="A14" s="181">
        <f>(2*$B$7)*0.4</f>
        <v>80</v>
      </c>
      <c r="B14" s="182">
        <f t="shared" si="1"/>
        <v>40000</v>
      </c>
      <c r="C14" s="182">
        <f t="shared" si="0"/>
        <v>10000</v>
      </c>
      <c r="D14" s="182">
        <f t="shared" si="2"/>
        <v>32000</v>
      </c>
      <c r="E14" s="182">
        <f t="shared" si="3"/>
        <v>42000</v>
      </c>
      <c r="F14" s="182">
        <f t="shared" si="4"/>
        <v>-2000</v>
      </c>
    </row>
    <row r="15" spans="1:6" x14ac:dyDescent="0.2">
      <c r="A15" s="183">
        <f>(2*$B$7)*0.5</f>
        <v>100</v>
      </c>
      <c r="B15" s="182">
        <f t="shared" si="1"/>
        <v>50000</v>
      </c>
      <c r="C15" s="182">
        <f t="shared" si="0"/>
        <v>10000</v>
      </c>
      <c r="D15" s="182">
        <f t="shared" si="2"/>
        <v>40000</v>
      </c>
      <c r="E15" s="182">
        <f t="shared" si="3"/>
        <v>50000</v>
      </c>
      <c r="F15" s="184">
        <f t="shared" si="4"/>
        <v>0</v>
      </c>
    </row>
    <row r="16" spans="1:6" x14ac:dyDescent="0.2">
      <c r="A16" s="181">
        <f>(2*$B$7)*0.6</f>
        <v>120</v>
      </c>
      <c r="B16" s="182">
        <f t="shared" si="1"/>
        <v>60000</v>
      </c>
      <c r="C16" s="182">
        <f t="shared" si="0"/>
        <v>10000</v>
      </c>
      <c r="D16" s="182">
        <f t="shared" si="2"/>
        <v>48000</v>
      </c>
      <c r="E16" s="182">
        <f t="shared" si="3"/>
        <v>58000</v>
      </c>
      <c r="F16" s="182">
        <f t="shared" si="4"/>
        <v>2000</v>
      </c>
    </row>
    <row r="17" spans="1:6" x14ac:dyDescent="0.2">
      <c r="A17" s="181">
        <f>(2*$B$7)*0.7</f>
        <v>140</v>
      </c>
      <c r="B17" s="182">
        <f t="shared" si="1"/>
        <v>70000</v>
      </c>
      <c r="C17" s="182">
        <f t="shared" si="0"/>
        <v>10000</v>
      </c>
      <c r="D17" s="182">
        <f t="shared" si="2"/>
        <v>56000</v>
      </c>
      <c r="E17" s="182">
        <f t="shared" si="3"/>
        <v>66000</v>
      </c>
      <c r="F17" s="182">
        <f t="shared" si="4"/>
        <v>4000</v>
      </c>
    </row>
    <row r="18" spans="1:6" x14ac:dyDescent="0.2">
      <c r="A18" s="181">
        <f>(2*$B$7)*0.8</f>
        <v>160</v>
      </c>
      <c r="B18" s="182">
        <f t="shared" si="1"/>
        <v>80000</v>
      </c>
      <c r="C18" s="182">
        <f t="shared" si="0"/>
        <v>10000</v>
      </c>
      <c r="D18" s="182">
        <f t="shared" si="2"/>
        <v>64000</v>
      </c>
      <c r="E18" s="182">
        <f t="shared" si="3"/>
        <v>74000</v>
      </c>
      <c r="F18" s="182">
        <f t="shared" si="4"/>
        <v>6000</v>
      </c>
    </row>
    <row r="19" spans="1:6" x14ac:dyDescent="0.2">
      <c r="A19" s="181">
        <f>(2*$B$7)*0.9</f>
        <v>180</v>
      </c>
      <c r="B19" s="182">
        <f t="shared" si="1"/>
        <v>90000</v>
      </c>
      <c r="C19" s="182">
        <f t="shared" si="0"/>
        <v>10000</v>
      </c>
      <c r="D19" s="182">
        <f t="shared" si="2"/>
        <v>72000</v>
      </c>
      <c r="E19" s="182">
        <f t="shared" si="3"/>
        <v>82000</v>
      </c>
      <c r="F19" s="182">
        <f t="shared" si="4"/>
        <v>8000</v>
      </c>
    </row>
    <row r="20" spans="1:6" x14ac:dyDescent="0.2">
      <c r="A20" s="181">
        <f>2*$B$7</f>
        <v>200</v>
      </c>
      <c r="B20" s="182">
        <f t="shared" si="1"/>
        <v>100000</v>
      </c>
      <c r="C20" s="182">
        <f t="shared" si="0"/>
        <v>10000</v>
      </c>
      <c r="D20" s="182">
        <f t="shared" si="2"/>
        <v>80000</v>
      </c>
      <c r="E20" s="182">
        <f t="shared" si="3"/>
        <v>90000</v>
      </c>
      <c r="F20" s="182">
        <f t="shared" si="4"/>
        <v>10000</v>
      </c>
    </row>
  </sheetData>
  <mergeCells count="2">
    <mergeCell ref="A1:E1"/>
    <mergeCell ref="A6:F6"/>
  </mergeCells>
  <phoneticPr fontId="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6" sqref="B6"/>
    </sheetView>
  </sheetViews>
  <sheetFormatPr defaultRowHeight="12.75" x14ac:dyDescent="0.2"/>
  <cols>
    <col min="1" max="1" width="18.140625" style="185" customWidth="1"/>
    <col min="2" max="2" width="12.7109375" style="169" customWidth="1"/>
    <col min="3" max="3" width="9.28515625" style="169" customWidth="1"/>
    <col min="4" max="4" width="15" style="169" customWidth="1"/>
    <col min="5" max="5" width="15.5703125" style="169" customWidth="1"/>
    <col min="6" max="6" width="11.42578125" style="169" customWidth="1"/>
    <col min="7" max="7" width="5.7109375" style="169" customWidth="1"/>
    <col min="8" max="16384" width="9.140625" style="169"/>
  </cols>
  <sheetData>
    <row r="1" spans="1:6" s="166" customFormat="1" x14ac:dyDescent="0.2">
      <c r="A1" s="545" t="s">
        <v>203</v>
      </c>
      <c r="B1" s="546"/>
      <c r="C1" s="546"/>
      <c r="D1" s="546"/>
      <c r="E1" s="546"/>
    </row>
    <row r="2" spans="1:6" x14ac:dyDescent="0.2">
      <c r="A2" s="167" t="s">
        <v>187</v>
      </c>
      <c r="B2" s="168"/>
    </row>
    <row r="3" spans="1:6" ht="13.5" thickBot="1" x14ac:dyDescent="0.25">
      <c r="A3" s="170" t="s">
        <v>188</v>
      </c>
      <c r="B3" s="171">
        <v>10000</v>
      </c>
    </row>
    <row r="4" spans="1:6" ht="13.5" thickBot="1" x14ac:dyDescent="0.25">
      <c r="A4" s="170" t="s">
        <v>189</v>
      </c>
      <c r="B4" s="171">
        <v>400</v>
      </c>
    </row>
    <row r="5" spans="1:6" x14ac:dyDescent="0.2">
      <c r="A5" s="172" t="s">
        <v>190</v>
      </c>
      <c r="B5" s="171">
        <v>500</v>
      </c>
    </row>
    <row r="6" spans="1:6" x14ac:dyDescent="0.2">
      <c r="A6" s="172" t="s">
        <v>200</v>
      </c>
      <c r="B6" s="171">
        <v>2000</v>
      </c>
    </row>
    <row r="7" spans="1:6" ht="13.5" thickBot="1" x14ac:dyDescent="0.25">
      <c r="A7" s="547" t="s">
        <v>191</v>
      </c>
      <c r="B7" s="548"/>
      <c r="C7" s="548"/>
      <c r="D7" s="548"/>
      <c r="E7" s="548"/>
      <c r="F7" s="548"/>
    </row>
    <row r="8" spans="1:6" ht="13.5" thickTop="1" x14ac:dyDescent="0.2">
      <c r="A8" s="173" t="s">
        <v>192</v>
      </c>
      <c r="B8" s="174">
        <f>(B3+B6)/(B5-B4)</f>
        <v>120</v>
      </c>
    </row>
    <row r="9" spans="1:6" ht="13.5" thickBot="1" x14ac:dyDescent="0.25">
      <c r="A9" s="175" t="s">
        <v>193</v>
      </c>
      <c r="B9" s="176">
        <f>(B3+B6)/(1-(B4/B5))</f>
        <v>60000.000000000015</v>
      </c>
    </row>
    <row r="10" spans="1:6" ht="13.5" thickTop="1" x14ac:dyDescent="0.2">
      <c r="A10" s="177" t="s">
        <v>194</v>
      </c>
      <c r="B10" s="178" t="s">
        <v>195</v>
      </c>
      <c r="C10" s="179" t="s">
        <v>196</v>
      </c>
      <c r="D10" s="179" t="s">
        <v>197</v>
      </c>
      <c r="E10" s="180" t="s">
        <v>198</v>
      </c>
      <c r="F10" s="179" t="s">
        <v>199</v>
      </c>
    </row>
    <row r="11" spans="1:6" x14ac:dyDescent="0.2">
      <c r="A11" s="181">
        <v>0</v>
      </c>
      <c r="B11" s="171">
        <f>$B$5*A11</f>
        <v>0</v>
      </c>
      <c r="C11" s="171">
        <f>$B$3</f>
        <v>10000</v>
      </c>
      <c r="D11" s="171">
        <f>$B$4*A11</f>
        <v>0</v>
      </c>
      <c r="E11" s="171">
        <f>D11+C11</f>
        <v>10000</v>
      </c>
      <c r="F11" s="171">
        <f>B11-E11</f>
        <v>-10000</v>
      </c>
    </row>
    <row r="12" spans="1:6" x14ac:dyDescent="0.2">
      <c r="A12" s="181">
        <f>(2*$B$8)*0.1</f>
        <v>24</v>
      </c>
      <c r="B12" s="171">
        <f>$B$5*A12</f>
        <v>12000</v>
      </c>
      <c r="C12" s="171">
        <f t="shared" ref="C12:C21" si="0">$B$3</f>
        <v>10000</v>
      </c>
      <c r="D12" s="171">
        <f>$B$4*A12</f>
        <v>9600</v>
      </c>
      <c r="E12" s="171">
        <f>D12+C12</f>
        <v>19600</v>
      </c>
      <c r="F12" s="171">
        <f>B12-E12</f>
        <v>-7600</v>
      </c>
    </row>
    <row r="13" spans="1:6" x14ac:dyDescent="0.2">
      <c r="A13" s="181">
        <f>(2*$B$8)*0.2</f>
        <v>48</v>
      </c>
      <c r="B13" s="171">
        <f>$B$5*A13</f>
        <v>24000</v>
      </c>
      <c r="C13" s="171">
        <f t="shared" si="0"/>
        <v>10000</v>
      </c>
      <c r="D13" s="171">
        <f>$B$4*A13</f>
        <v>19200</v>
      </c>
      <c r="E13" s="171">
        <f>D13+C13</f>
        <v>29200</v>
      </c>
      <c r="F13" s="171">
        <f>B13-E13</f>
        <v>-5200</v>
      </c>
    </row>
    <row r="14" spans="1:6" x14ac:dyDescent="0.2">
      <c r="A14" s="181">
        <f>(2*$B$8)*0.3</f>
        <v>72</v>
      </c>
      <c r="B14" s="171">
        <f t="shared" ref="B14:B21" si="1">$B$5*A14</f>
        <v>36000</v>
      </c>
      <c r="C14" s="171">
        <f t="shared" si="0"/>
        <v>10000</v>
      </c>
      <c r="D14" s="171">
        <f t="shared" ref="D14:D21" si="2">$B$4*A14</f>
        <v>28800</v>
      </c>
      <c r="E14" s="171">
        <f t="shared" ref="E14:E21" si="3">D14+C14</f>
        <v>38800</v>
      </c>
      <c r="F14" s="171">
        <f t="shared" ref="F14:F21" si="4">B14-E14</f>
        <v>-2800</v>
      </c>
    </row>
    <row r="15" spans="1:6" x14ac:dyDescent="0.2">
      <c r="A15" s="181">
        <f>(2*$B$8)*0.4</f>
        <v>96</v>
      </c>
      <c r="B15" s="171">
        <f t="shared" si="1"/>
        <v>48000</v>
      </c>
      <c r="C15" s="171">
        <f t="shared" si="0"/>
        <v>10000</v>
      </c>
      <c r="D15" s="171">
        <f t="shared" si="2"/>
        <v>38400</v>
      </c>
      <c r="E15" s="171">
        <f t="shared" si="3"/>
        <v>48400</v>
      </c>
      <c r="F15" s="171">
        <f t="shared" si="4"/>
        <v>-400</v>
      </c>
    </row>
    <row r="16" spans="1:6" x14ac:dyDescent="0.2">
      <c r="A16" s="183">
        <f>(2*$B$8)*0.5</f>
        <v>120</v>
      </c>
      <c r="B16" s="171">
        <f t="shared" si="1"/>
        <v>60000</v>
      </c>
      <c r="C16" s="171">
        <f t="shared" si="0"/>
        <v>10000</v>
      </c>
      <c r="D16" s="171">
        <f t="shared" si="2"/>
        <v>48000</v>
      </c>
      <c r="E16" s="171">
        <f t="shared" si="3"/>
        <v>58000</v>
      </c>
      <c r="F16" s="186">
        <f t="shared" si="4"/>
        <v>2000</v>
      </c>
    </row>
    <row r="17" spans="1:6" x14ac:dyDescent="0.2">
      <c r="A17" s="181">
        <f>(2*$B$8)*0.6</f>
        <v>144</v>
      </c>
      <c r="B17" s="171">
        <f t="shared" si="1"/>
        <v>72000</v>
      </c>
      <c r="C17" s="171">
        <f t="shared" si="0"/>
        <v>10000</v>
      </c>
      <c r="D17" s="171">
        <f t="shared" si="2"/>
        <v>57600</v>
      </c>
      <c r="E17" s="171">
        <f t="shared" si="3"/>
        <v>67600</v>
      </c>
      <c r="F17" s="171">
        <f t="shared" si="4"/>
        <v>4400</v>
      </c>
    </row>
    <row r="18" spans="1:6" x14ac:dyDescent="0.2">
      <c r="A18" s="181">
        <f>(2*$B$8)*0.7</f>
        <v>168</v>
      </c>
      <c r="B18" s="171">
        <f t="shared" si="1"/>
        <v>84000</v>
      </c>
      <c r="C18" s="171">
        <f t="shared" si="0"/>
        <v>10000</v>
      </c>
      <c r="D18" s="171">
        <f t="shared" si="2"/>
        <v>67200</v>
      </c>
      <c r="E18" s="171">
        <f t="shared" si="3"/>
        <v>77200</v>
      </c>
      <c r="F18" s="171">
        <f t="shared" si="4"/>
        <v>6800</v>
      </c>
    </row>
    <row r="19" spans="1:6" x14ac:dyDescent="0.2">
      <c r="A19" s="181">
        <f>(2*$B$8)*0.8</f>
        <v>192</v>
      </c>
      <c r="B19" s="171">
        <f t="shared" si="1"/>
        <v>96000</v>
      </c>
      <c r="C19" s="171">
        <f t="shared" si="0"/>
        <v>10000</v>
      </c>
      <c r="D19" s="171">
        <f t="shared" si="2"/>
        <v>76800</v>
      </c>
      <c r="E19" s="171">
        <f t="shared" si="3"/>
        <v>86800</v>
      </c>
      <c r="F19" s="171">
        <f t="shared" si="4"/>
        <v>9200</v>
      </c>
    </row>
    <row r="20" spans="1:6" x14ac:dyDescent="0.2">
      <c r="A20" s="181">
        <f>(2*$B$8)*0.9</f>
        <v>216</v>
      </c>
      <c r="B20" s="171">
        <f t="shared" si="1"/>
        <v>108000</v>
      </c>
      <c r="C20" s="171">
        <f t="shared" si="0"/>
        <v>10000</v>
      </c>
      <c r="D20" s="171">
        <f t="shared" si="2"/>
        <v>86400</v>
      </c>
      <c r="E20" s="171">
        <f t="shared" si="3"/>
        <v>96400</v>
      </c>
      <c r="F20" s="171">
        <f t="shared" si="4"/>
        <v>11600</v>
      </c>
    </row>
    <row r="21" spans="1:6" x14ac:dyDescent="0.2">
      <c r="A21" s="181">
        <f>2*$B$8</f>
        <v>240</v>
      </c>
      <c r="B21" s="171">
        <f t="shared" si="1"/>
        <v>120000</v>
      </c>
      <c r="C21" s="171">
        <f t="shared" si="0"/>
        <v>10000</v>
      </c>
      <c r="D21" s="171">
        <f t="shared" si="2"/>
        <v>96000</v>
      </c>
      <c r="E21" s="171">
        <f t="shared" si="3"/>
        <v>106000</v>
      </c>
      <c r="F21" s="171">
        <f t="shared" si="4"/>
        <v>14000</v>
      </c>
    </row>
  </sheetData>
  <mergeCells count="2">
    <mergeCell ref="A1:E1"/>
    <mergeCell ref="A7:F7"/>
  </mergeCells>
  <phoneticPr fontId="3"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J16" sqref="J16"/>
    </sheetView>
  </sheetViews>
  <sheetFormatPr defaultRowHeight="12.75" x14ac:dyDescent="0.2"/>
  <cols>
    <col min="1" max="1" width="18.140625" style="185" customWidth="1"/>
    <col min="2" max="2" width="12.7109375" style="169" customWidth="1"/>
    <col min="3" max="3" width="9.28515625" style="169" customWidth="1"/>
    <col min="4" max="4" width="15" style="169" customWidth="1"/>
    <col min="5" max="5" width="15.5703125" style="169" customWidth="1"/>
    <col min="6" max="6" width="11.42578125" style="169" customWidth="1"/>
    <col min="7" max="7" width="5.7109375" style="169" customWidth="1"/>
    <col min="8" max="16384" width="9.140625" style="169"/>
  </cols>
  <sheetData>
    <row r="1" spans="1:6" s="166" customFormat="1" x14ac:dyDescent="0.2">
      <c r="A1" s="545" t="s">
        <v>253</v>
      </c>
      <c r="B1" s="546"/>
      <c r="C1" s="546"/>
      <c r="D1" s="546"/>
      <c r="E1" s="546"/>
    </row>
    <row r="2" spans="1:6" x14ac:dyDescent="0.2">
      <c r="A2" s="167" t="s">
        <v>187</v>
      </c>
      <c r="B2" s="168"/>
    </row>
    <row r="3" spans="1:6" ht="13.5" thickBot="1" x14ac:dyDescent="0.25">
      <c r="A3" s="170" t="s">
        <v>188</v>
      </c>
      <c r="B3" s="171">
        <v>10000</v>
      </c>
    </row>
    <row r="4" spans="1:6" ht="13.5" thickBot="1" x14ac:dyDescent="0.25">
      <c r="A4" s="170" t="s">
        <v>189</v>
      </c>
      <c r="B4" s="171">
        <v>400</v>
      </c>
    </row>
    <row r="5" spans="1:6" x14ac:dyDescent="0.2">
      <c r="A5" s="172" t="s">
        <v>190</v>
      </c>
      <c r="B5" s="171">
        <v>1000</v>
      </c>
    </row>
    <row r="6" spans="1:6" x14ac:dyDescent="0.2">
      <c r="A6" s="172" t="s">
        <v>200</v>
      </c>
      <c r="B6" s="221">
        <v>0.2</v>
      </c>
      <c r="C6" s="169" t="s">
        <v>254</v>
      </c>
    </row>
    <row r="7" spans="1:6" x14ac:dyDescent="0.2">
      <c r="A7" s="549" t="s">
        <v>255</v>
      </c>
      <c r="B7" s="550"/>
      <c r="C7" s="550"/>
      <c r="D7" s="550"/>
      <c r="E7" s="550"/>
      <c r="F7" s="550"/>
    </row>
    <row r="8" spans="1:6" ht="13.5" thickBot="1" x14ac:dyDescent="0.25">
      <c r="A8" s="222" t="s">
        <v>256</v>
      </c>
      <c r="B8" s="215"/>
      <c r="C8" s="215"/>
      <c r="D8" s="215"/>
      <c r="E8" s="215"/>
      <c r="F8" s="215"/>
    </row>
    <row r="9" spans="1:6" ht="13.5" thickTop="1" x14ac:dyDescent="0.2">
      <c r="A9" s="173" t="s">
        <v>192</v>
      </c>
      <c r="B9" s="223">
        <v>25</v>
      </c>
    </row>
    <row r="10" spans="1:6" ht="13.5" thickBot="1" x14ac:dyDescent="0.25">
      <c r="A10" s="175" t="s">
        <v>193</v>
      </c>
      <c r="B10" s="224">
        <f>B9*B5</f>
        <v>25000</v>
      </c>
    </row>
    <row r="11" spans="1:6" ht="13.5" thickTop="1" x14ac:dyDescent="0.2">
      <c r="A11" s="177" t="s">
        <v>194</v>
      </c>
      <c r="B11" s="178" t="s">
        <v>195</v>
      </c>
      <c r="C11" s="179" t="s">
        <v>196</v>
      </c>
      <c r="D11" s="179" t="s">
        <v>197</v>
      </c>
      <c r="E11" s="180" t="s">
        <v>198</v>
      </c>
      <c r="F11" s="179" t="s">
        <v>199</v>
      </c>
    </row>
    <row r="12" spans="1:6" x14ac:dyDescent="0.2">
      <c r="A12" s="181">
        <v>0</v>
      </c>
      <c r="B12" s="171">
        <f>$B$5*A12</f>
        <v>0</v>
      </c>
      <c r="C12" s="171">
        <f>$B$3</f>
        <v>10000</v>
      </c>
      <c r="D12" s="171">
        <f>$B$4*A12</f>
        <v>0</v>
      </c>
      <c r="E12" s="171">
        <f>D12+C12</f>
        <v>10000</v>
      </c>
      <c r="F12" s="171">
        <f>B12-E12</f>
        <v>-10000</v>
      </c>
    </row>
    <row r="13" spans="1:6" x14ac:dyDescent="0.2">
      <c r="A13" s="181">
        <f>(2*$B$9)*0.1</f>
        <v>5</v>
      </c>
      <c r="B13" s="171">
        <f>$B$5*A13</f>
        <v>5000</v>
      </c>
      <c r="C13" s="171">
        <f t="shared" ref="C13:C22" si="0">$B$3</f>
        <v>10000</v>
      </c>
      <c r="D13" s="171">
        <f>$B$4*A13</f>
        <v>2000</v>
      </c>
      <c r="E13" s="171">
        <f>D13+C13</f>
        <v>12000</v>
      </c>
      <c r="F13" s="171">
        <f>B13-E13</f>
        <v>-7000</v>
      </c>
    </row>
    <row r="14" spans="1:6" x14ac:dyDescent="0.2">
      <c r="A14" s="181">
        <f>(2*$B$9)*0.2</f>
        <v>10</v>
      </c>
      <c r="B14" s="171">
        <f>$B$5*A14</f>
        <v>10000</v>
      </c>
      <c r="C14" s="171">
        <f t="shared" si="0"/>
        <v>10000</v>
      </c>
      <c r="D14" s="171">
        <f>$B$4*A14</f>
        <v>4000</v>
      </c>
      <c r="E14" s="171">
        <f>D14+C14</f>
        <v>14000</v>
      </c>
      <c r="F14" s="171">
        <f>B14-E14</f>
        <v>-4000</v>
      </c>
    </row>
    <row r="15" spans="1:6" x14ac:dyDescent="0.2">
      <c r="A15" s="181">
        <f>(2*$B$9)*0.3</f>
        <v>15</v>
      </c>
      <c r="B15" s="171">
        <f t="shared" ref="B15:B22" si="1">$B$5*A15</f>
        <v>15000</v>
      </c>
      <c r="C15" s="171">
        <f t="shared" si="0"/>
        <v>10000</v>
      </c>
      <c r="D15" s="171">
        <f t="shared" ref="D15:D22" si="2">$B$4*A15</f>
        <v>6000</v>
      </c>
      <c r="E15" s="171">
        <f t="shared" ref="E15:E22" si="3">D15+C15</f>
        <v>16000</v>
      </c>
      <c r="F15" s="171">
        <f t="shared" ref="F15:F22" si="4">B15-E15</f>
        <v>-1000</v>
      </c>
    </row>
    <row r="16" spans="1:6" x14ac:dyDescent="0.2">
      <c r="A16" s="181">
        <f>(2*$B$9)*0.4</f>
        <v>20</v>
      </c>
      <c r="B16" s="171">
        <f t="shared" si="1"/>
        <v>20000</v>
      </c>
      <c r="C16" s="171">
        <f t="shared" si="0"/>
        <v>10000</v>
      </c>
      <c r="D16" s="171">
        <f t="shared" si="2"/>
        <v>8000</v>
      </c>
      <c r="E16" s="171">
        <f t="shared" si="3"/>
        <v>18000</v>
      </c>
      <c r="F16" s="171">
        <f t="shared" si="4"/>
        <v>2000</v>
      </c>
    </row>
    <row r="17" spans="1:6" x14ac:dyDescent="0.2">
      <c r="A17" s="225">
        <f>(2*$B$9)*0.5</f>
        <v>25</v>
      </c>
      <c r="B17" s="171">
        <f t="shared" si="1"/>
        <v>25000</v>
      </c>
      <c r="C17" s="171">
        <f t="shared" si="0"/>
        <v>10000</v>
      </c>
      <c r="D17" s="171">
        <f t="shared" si="2"/>
        <v>10000</v>
      </c>
      <c r="E17" s="171">
        <f t="shared" si="3"/>
        <v>20000</v>
      </c>
      <c r="F17" s="226">
        <f t="shared" si="4"/>
        <v>5000</v>
      </c>
    </row>
    <row r="18" spans="1:6" x14ac:dyDescent="0.2">
      <c r="A18" s="181">
        <f>(2*$B$9)*0.6</f>
        <v>30</v>
      </c>
      <c r="B18" s="171">
        <f t="shared" si="1"/>
        <v>30000</v>
      </c>
      <c r="C18" s="171">
        <f t="shared" si="0"/>
        <v>10000</v>
      </c>
      <c r="D18" s="171">
        <f t="shared" si="2"/>
        <v>12000</v>
      </c>
      <c r="E18" s="171">
        <f t="shared" si="3"/>
        <v>22000</v>
      </c>
      <c r="F18" s="171">
        <f t="shared" si="4"/>
        <v>8000</v>
      </c>
    </row>
    <row r="19" spans="1:6" x14ac:dyDescent="0.2">
      <c r="A19" s="181">
        <f>(2*$B$9)*0.7</f>
        <v>35</v>
      </c>
      <c r="B19" s="171">
        <f t="shared" si="1"/>
        <v>35000</v>
      </c>
      <c r="C19" s="171">
        <f t="shared" si="0"/>
        <v>10000</v>
      </c>
      <c r="D19" s="171">
        <f t="shared" si="2"/>
        <v>14000</v>
      </c>
      <c r="E19" s="171">
        <f t="shared" si="3"/>
        <v>24000</v>
      </c>
      <c r="F19" s="171">
        <f t="shared" si="4"/>
        <v>11000</v>
      </c>
    </row>
    <row r="20" spans="1:6" x14ac:dyDescent="0.2">
      <c r="A20" s="181">
        <f>(2*$B$9)*0.8</f>
        <v>40</v>
      </c>
      <c r="B20" s="171">
        <f t="shared" si="1"/>
        <v>40000</v>
      </c>
      <c r="C20" s="171">
        <f t="shared" si="0"/>
        <v>10000</v>
      </c>
      <c r="D20" s="171">
        <f t="shared" si="2"/>
        <v>16000</v>
      </c>
      <c r="E20" s="171">
        <f t="shared" si="3"/>
        <v>26000</v>
      </c>
      <c r="F20" s="171">
        <f t="shared" si="4"/>
        <v>14000</v>
      </c>
    </row>
    <row r="21" spans="1:6" x14ac:dyDescent="0.2">
      <c r="A21" s="181">
        <f>(2*$B$9)*0.9</f>
        <v>45</v>
      </c>
      <c r="B21" s="171">
        <f t="shared" si="1"/>
        <v>45000</v>
      </c>
      <c r="C21" s="171">
        <f t="shared" si="0"/>
        <v>10000</v>
      </c>
      <c r="D21" s="171">
        <f t="shared" si="2"/>
        <v>18000</v>
      </c>
      <c r="E21" s="171">
        <f t="shared" si="3"/>
        <v>28000</v>
      </c>
      <c r="F21" s="171">
        <f t="shared" si="4"/>
        <v>17000</v>
      </c>
    </row>
    <row r="22" spans="1:6" x14ac:dyDescent="0.2">
      <c r="A22" s="181">
        <f>2*$B$9</f>
        <v>50</v>
      </c>
      <c r="B22" s="171">
        <f t="shared" si="1"/>
        <v>50000</v>
      </c>
      <c r="C22" s="171">
        <f t="shared" si="0"/>
        <v>10000</v>
      </c>
      <c r="D22" s="171">
        <f t="shared" si="2"/>
        <v>20000</v>
      </c>
      <c r="E22" s="171">
        <f t="shared" si="3"/>
        <v>30000</v>
      </c>
      <c r="F22" s="171">
        <f t="shared" si="4"/>
        <v>20000</v>
      </c>
    </row>
  </sheetData>
  <mergeCells count="2">
    <mergeCell ref="A1:E1"/>
    <mergeCell ref="A7:F7"/>
  </mergeCells>
  <phoneticPr fontId="3"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E16" sqref="E16"/>
    </sheetView>
  </sheetViews>
  <sheetFormatPr defaultRowHeight="12.75" x14ac:dyDescent="0.2"/>
  <cols>
    <col min="1" max="4" width="9.140625" style="83"/>
    <col min="5" max="5" width="14.7109375" style="83" customWidth="1"/>
    <col min="6" max="6" width="9.140625" style="83"/>
    <col min="7" max="7" width="14.28515625" style="83" customWidth="1"/>
    <col min="8" max="16384" width="9.140625" style="83"/>
  </cols>
  <sheetData>
    <row r="1" spans="1:10" ht="15.75" thickTop="1" x14ac:dyDescent="0.25">
      <c r="A1" s="84" t="s">
        <v>18</v>
      </c>
      <c r="B1" s="85"/>
      <c r="C1" s="85"/>
      <c r="D1" s="85"/>
      <c r="E1" s="85"/>
      <c r="F1" s="85"/>
      <c r="G1" s="85"/>
      <c r="H1" s="85"/>
      <c r="I1" s="85"/>
      <c r="J1" s="86"/>
    </row>
    <row r="2" spans="1:10" ht="15" x14ac:dyDescent="0.25">
      <c r="A2" s="87"/>
      <c r="B2" s="88"/>
      <c r="C2" s="88"/>
      <c r="D2" s="88"/>
      <c r="E2" s="88"/>
      <c r="F2" s="88"/>
      <c r="G2" s="88"/>
      <c r="H2" s="88"/>
      <c r="I2" s="88"/>
      <c r="J2" s="89"/>
    </row>
    <row r="3" spans="1:10" ht="14.25" x14ac:dyDescent="0.2">
      <c r="A3" s="90" t="s">
        <v>117</v>
      </c>
      <c r="B3" s="88"/>
      <c r="C3" s="88" t="s">
        <v>21</v>
      </c>
      <c r="D3" s="88"/>
      <c r="E3" s="88"/>
      <c r="F3" s="88" t="s">
        <v>22</v>
      </c>
      <c r="G3" s="88"/>
      <c r="H3" s="88"/>
      <c r="I3" s="88"/>
      <c r="J3" s="89"/>
    </row>
    <row r="4" spans="1:10" ht="14.25" x14ac:dyDescent="0.2">
      <c r="A4" s="90" t="s">
        <v>116</v>
      </c>
      <c r="B4" s="88"/>
      <c r="C4" s="88"/>
      <c r="D4" s="88"/>
      <c r="E4" s="88"/>
      <c r="F4" s="88"/>
      <c r="G4" s="88"/>
      <c r="H4" s="88"/>
      <c r="I4" s="88"/>
      <c r="J4" s="89"/>
    </row>
    <row r="5" spans="1:10" ht="14.25" x14ac:dyDescent="0.2">
      <c r="A5" s="90"/>
      <c r="B5" s="88"/>
      <c r="C5" s="88"/>
      <c r="D5" s="88"/>
      <c r="E5" s="88"/>
      <c r="F5" s="88"/>
      <c r="G5" s="88"/>
      <c r="H5" s="88"/>
      <c r="I5" s="88"/>
      <c r="J5" s="89"/>
    </row>
    <row r="6" spans="1:10" ht="15" thickBot="1" x14ac:dyDescent="0.25">
      <c r="A6" s="91" t="s">
        <v>19</v>
      </c>
      <c r="B6" s="92"/>
      <c r="C6" s="92"/>
      <c r="D6" s="92"/>
      <c r="E6" s="92"/>
      <c r="F6" s="92" t="s">
        <v>118</v>
      </c>
      <c r="G6" s="92"/>
      <c r="H6" s="92" t="s">
        <v>119</v>
      </c>
      <c r="I6" s="92"/>
      <c r="J6" s="93"/>
    </row>
    <row r="7" spans="1:10" ht="13.5" thickTop="1" x14ac:dyDescent="0.2">
      <c r="A7" s="551" t="s">
        <v>213</v>
      </c>
      <c r="B7" s="552"/>
      <c r="C7" s="552"/>
      <c r="D7" s="552"/>
      <c r="E7" s="553"/>
      <c r="F7" s="553"/>
      <c r="G7" s="553"/>
      <c r="H7" s="553"/>
      <c r="I7" s="553"/>
      <c r="J7" s="553"/>
    </row>
  </sheetData>
  <mergeCells count="1">
    <mergeCell ref="A7:J7"/>
  </mergeCells>
  <phoneticPr fontId="3"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E20" sqref="E20"/>
    </sheetView>
  </sheetViews>
  <sheetFormatPr defaultRowHeight="11.25" x14ac:dyDescent="0.2"/>
  <cols>
    <col min="1" max="1" width="31.7109375" style="95" customWidth="1"/>
    <col min="2" max="2" width="12.28515625" style="94" customWidth="1"/>
    <col min="3" max="3" width="11" style="94" customWidth="1"/>
    <col min="4" max="4" width="11.7109375" style="94" customWidth="1"/>
    <col min="5" max="5" width="16.28515625" style="94" customWidth="1"/>
    <col min="6" max="6" width="14.140625" style="94" customWidth="1"/>
    <col min="7" max="16384" width="9.140625" style="94"/>
  </cols>
  <sheetData>
    <row r="1" spans="1:6" ht="12.75" thickTop="1" thickBot="1" x14ac:dyDescent="0.25">
      <c r="A1" s="554" t="s">
        <v>120</v>
      </c>
      <c r="B1" s="554"/>
      <c r="C1" s="554"/>
      <c r="D1" s="554"/>
      <c r="E1" s="554"/>
      <c r="F1" s="554"/>
    </row>
    <row r="2" spans="1:6" ht="12.75" thickTop="1" thickBot="1" x14ac:dyDescent="0.25">
      <c r="A2" s="141" t="s">
        <v>121</v>
      </c>
      <c r="B2" s="142" t="s">
        <v>122</v>
      </c>
      <c r="C2" s="142" t="s">
        <v>123</v>
      </c>
      <c r="D2" s="142" t="s">
        <v>124</v>
      </c>
      <c r="E2" s="143" t="s">
        <v>125</v>
      </c>
      <c r="F2" s="142" t="s">
        <v>126</v>
      </c>
    </row>
    <row r="3" spans="1:6" ht="14.25" thickTop="1" thickBot="1" x14ac:dyDescent="0.25">
      <c r="A3" s="144" t="s">
        <v>127</v>
      </c>
      <c r="B3" s="144">
        <v>0.19</v>
      </c>
      <c r="C3" s="144">
        <v>3</v>
      </c>
      <c r="D3" s="144">
        <v>150000</v>
      </c>
      <c r="E3" s="145">
        <f>FV(B3,C3,,-D3,0)</f>
        <v>252773.84999999998</v>
      </c>
      <c r="F3" s="146">
        <f>D3*(1+B3)^C3</f>
        <v>252773.84999999998</v>
      </c>
    </row>
    <row r="4" spans="1:6" ht="14.25" thickTop="1" thickBot="1" x14ac:dyDescent="0.25">
      <c r="A4" s="144" t="s">
        <v>128</v>
      </c>
      <c r="B4" s="144">
        <f>B3/2</f>
        <v>9.5000000000000001E-2</v>
      </c>
      <c r="C4" s="144">
        <f>C3*2</f>
        <v>6</v>
      </c>
      <c r="D4" s="144">
        <f>D3</f>
        <v>150000</v>
      </c>
      <c r="E4" s="145">
        <f>FV(B4,C4,,-D4,0)</f>
        <v>258568.71319847109</v>
      </c>
      <c r="F4" s="146">
        <f>D4*(1+B4)^C4</f>
        <v>258568.71319847109</v>
      </c>
    </row>
    <row r="5" spans="1:6" ht="14.25" thickTop="1" thickBot="1" x14ac:dyDescent="0.25">
      <c r="A5" s="144" t="s">
        <v>129</v>
      </c>
      <c r="B5" s="144">
        <v>0.19</v>
      </c>
      <c r="C5" s="144">
        <v>3</v>
      </c>
      <c r="D5" s="144">
        <f>D4</f>
        <v>150000</v>
      </c>
      <c r="E5" s="145">
        <f>EXP(C4*B4)*D5</f>
        <v>265240.05771506031</v>
      </c>
      <c r="F5" s="146">
        <f>2.7182^(B5*C5)*D5</f>
        <v>265235.50650719617</v>
      </c>
    </row>
    <row r="6" spans="1:6" ht="12.75" thickTop="1" thickBot="1" x14ac:dyDescent="0.25">
      <c r="A6" s="144"/>
      <c r="B6" s="144"/>
      <c r="C6" s="144"/>
      <c r="D6" s="144"/>
      <c r="E6" s="147" t="s">
        <v>130</v>
      </c>
      <c r="F6" s="148"/>
    </row>
    <row r="7" spans="1:6" ht="14.25" thickTop="1" thickBot="1" x14ac:dyDescent="0.25">
      <c r="A7" s="144" t="s">
        <v>131</v>
      </c>
      <c r="B7" s="144">
        <v>0.12</v>
      </c>
      <c r="C7" s="144">
        <v>5</v>
      </c>
      <c r="D7" s="144">
        <v>5000000</v>
      </c>
      <c r="E7" s="145">
        <f>PV(B7,C7,,-D7,0)</f>
        <v>2837134.2785929963</v>
      </c>
      <c r="F7" s="148">
        <f>D7/(1+B7)^C7</f>
        <v>2837134.2785929963</v>
      </c>
    </row>
    <row r="8" spans="1:6" ht="14.25" thickTop="1" thickBot="1" x14ac:dyDescent="0.25">
      <c r="A8" s="144" t="s">
        <v>132</v>
      </c>
      <c r="B8" s="144">
        <f>B7/4</f>
        <v>0.03</v>
      </c>
      <c r="C8" s="144">
        <f>C7*4</f>
        <v>20</v>
      </c>
      <c r="D8" s="144">
        <f>D7</f>
        <v>5000000</v>
      </c>
      <c r="E8" s="145">
        <f>PV(B8,C8,,-D8,0)</f>
        <v>2768378.7709316746</v>
      </c>
      <c r="F8" s="148">
        <f>D8/(1+B8)^C8</f>
        <v>2768378.7709316746</v>
      </c>
    </row>
    <row r="9" spans="1:6" ht="12.75" thickTop="1" thickBot="1" x14ac:dyDescent="0.25">
      <c r="A9" s="149" t="s">
        <v>218</v>
      </c>
      <c r="B9" s="192">
        <v>0.1</v>
      </c>
      <c r="C9" s="192">
        <v>5</v>
      </c>
      <c r="D9" s="192">
        <v>100000</v>
      </c>
      <c r="E9" s="143" t="s">
        <v>133</v>
      </c>
      <c r="F9" s="148"/>
    </row>
    <row r="10" spans="1:6" ht="14.25" thickTop="1" thickBot="1" x14ac:dyDescent="0.25">
      <c r="A10" s="144" t="s">
        <v>134</v>
      </c>
      <c r="B10" s="144">
        <f>B9/2</f>
        <v>0.05</v>
      </c>
      <c r="C10" s="144">
        <f>C9*2</f>
        <v>10</v>
      </c>
      <c r="D10" s="144"/>
      <c r="E10" s="145">
        <f>PV(B10,C10,-$D$9,,0)</f>
        <v>772173.49291848124</v>
      </c>
      <c r="F10" s="148"/>
    </row>
    <row r="11" spans="1:6" ht="14.25" thickTop="1" thickBot="1" x14ac:dyDescent="0.25">
      <c r="A11" s="144" t="s">
        <v>135</v>
      </c>
      <c r="B11" s="144">
        <f>B9/4</f>
        <v>2.5000000000000001E-2</v>
      </c>
      <c r="C11" s="144">
        <f>C9*4</f>
        <v>20</v>
      </c>
      <c r="D11" s="144"/>
      <c r="E11" s="145">
        <f>PV(B11,C11,-$D$9,,0)</f>
        <v>1558916.2285646785</v>
      </c>
      <c r="F11" s="148"/>
    </row>
    <row r="12" spans="1:6" ht="14.25" thickTop="1" thickBot="1" x14ac:dyDescent="0.25">
      <c r="A12" s="144" t="s">
        <v>136</v>
      </c>
      <c r="B12" s="144">
        <f>B9/2</f>
        <v>0.05</v>
      </c>
      <c r="C12" s="144">
        <f>C9*2</f>
        <v>10</v>
      </c>
      <c r="D12" s="144"/>
      <c r="E12" s="145">
        <f>FV(B12,C12,-$D$9,,0)</f>
        <v>1257789.2535548829</v>
      </c>
      <c r="F12" s="148"/>
    </row>
    <row r="13" spans="1:6" ht="14.25" thickTop="1" thickBot="1" x14ac:dyDescent="0.25">
      <c r="A13" s="144" t="s">
        <v>137</v>
      </c>
      <c r="B13" s="144">
        <f>B9/4</f>
        <v>2.5000000000000001E-2</v>
      </c>
      <c r="C13" s="144">
        <f>C9*4</f>
        <v>20</v>
      </c>
      <c r="D13" s="144"/>
      <c r="E13" s="145">
        <f>FV(B13,C13,-$D$9,,0)</f>
        <v>2554465.7611615821</v>
      </c>
      <c r="F13" s="148"/>
    </row>
    <row r="14" spans="1:6" ht="14.25" thickTop="1" thickBot="1" x14ac:dyDescent="0.25">
      <c r="A14" s="144" t="s">
        <v>138</v>
      </c>
      <c r="B14" s="144">
        <f>B9/2</f>
        <v>0.05</v>
      </c>
      <c r="C14" s="144">
        <f>C9*2</f>
        <v>10</v>
      </c>
      <c r="D14" s="144"/>
      <c r="E14" s="145">
        <f>PV(B14,C14,-$D$9,,1)</f>
        <v>810782.16756440536</v>
      </c>
      <c r="F14" s="148"/>
    </row>
    <row r="15" spans="1:6" ht="14.25" thickTop="1" thickBot="1" x14ac:dyDescent="0.25">
      <c r="A15" s="144" t="s">
        <v>139</v>
      </c>
      <c r="B15" s="144">
        <f>B9/4</f>
        <v>2.5000000000000001E-2</v>
      </c>
      <c r="C15" s="144">
        <f>C9*4</f>
        <v>20</v>
      </c>
      <c r="D15" s="144"/>
      <c r="E15" s="145">
        <f>PV(B15,C15,-$D$9,,1)</f>
        <v>1597889.1342787954</v>
      </c>
      <c r="F15" s="148"/>
    </row>
    <row r="16" spans="1:6" ht="14.25" thickTop="1" thickBot="1" x14ac:dyDescent="0.25">
      <c r="A16" s="144" t="s">
        <v>140</v>
      </c>
      <c r="B16" s="144">
        <f>B9/2</f>
        <v>0.05</v>
      </c>
      <c r="C16" s="144">
        <f>C9*2</f>
        <v>10</v>
      </c>
      <c r="D16" s="144"/>
      <c r="E16" s="145">
        <f>FV(B16,C16,-$D$9,,1)</f>
        <v>1320678.7162326272</v>
      </c>
      <c r="F16" s="148"/>
    </row>
    <row r="17" spans="1:6" ht="14.25" thickTop="1" thickBot="1" x14ac:dyDescent="0.25">
      <c r="A17" s="144" t="s">
        <v>141</v>
      </c>
      <c r="B17" s="144">
        <f>B9/4</f>
        <v>2.5000000000000001E-2</v>
      </c>
      <c r="C17" s="144">
        <f>C9*4</f>
        <v>20</v>
      </c>
      <c r="D17" s="144"/>
      <c r="E17" s="145">
        <f>FV(B17,C17,-$D$9,,1)</f>
        <v>2618327.4051906215</v>
      </c>
      <c r="F17" s="148"/>
    </row>
    <row r="18" spans="1:6" ht="14.25" thickTop="1" thickBot="1" x14ac:dyDescent="0.25">
      <c r="A18" s="144" t="s">
        <v>142</v>
      </c>
      <c r="B18" s="144">
        <v>1.4999999999999999E-2</v>
      </c>
      <c r="C18" s="144">
        <v>12</v>
      </c>
      <c r="D18" s="144">
        <v>140000</v>
      </c>
      <c r="E18" s="145">
        <f>PV(B18,C18,-$D$18,,1)</f>
        <v>1549956.4899109432</v>
      </c>
      <c r="F18" s="148"/>
    </row>
    <row r="19" spans="1:6" ht="14.25" thickTop="1" thickBot="1" x14ac:dyDescent="0.25">
      <c r="A19" s="144" t="s">
        <v>143</v>
      </c>
      <c r="B19" s="144">
        <f>0.06/12</f>
        <v>5.0000000000000001E-3</v>
      </c>
      <c r="C19" s="144">
        <v>0</v>
      </c>
      <c r="D19" s="144">
        <v>100000</v>
      </c>
      <c r="E19" s="145">
        <f>D19/B19</f>
        <v>20000000</v>
      </c>
      <c r="F19" s="148"/>
    </row>
    <row r="20" spans="1:6" ht="14.25" thickTop="1" thickBot="1" x14ac:dyDescent="0.25">
      <c r="A20" s="144" t="s">
        <v>144</v>
      </c>
      <c r="B20" s="144">
        <f>0.12/12</f>
        <v>0.01</v>
      </c>
      <c r="C20" s="144">
        <f>12.5*12</f>
        <v>150</v>
      </c>
      <c r="D20" s="144">
        <v>15000000</v>
      </c>
      <c r="E20" s="145">
        <f>PMT(B20,C20,-D20)</f>
        <v>193498.14524566731</v>
      </c>
      <c r="F20" s="148"/>
    </row>
    <row r="21" spans="1:6" ht="12" thickTop="1" x14ac:dyDescent="0.2">
      <c r="B21" s="96"/>
      <c r="E21" s="96"/>
    </row>
    <row r="22" spans="1:6" x14ac:dyDescent="0.2">
      <c r="E22" s="96"/>
    </row>
    <row r="23" spans="1:6" x14ac:dyDescent="0.2">
      <c r="C23" s="97"/>
    </row>
  </sheetData>
  <mergeCells count="1">
    <mergeCell ref="A1:F1"/>
  </mergeCells>
  <phoneticPr fontId="3"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D15" sqref="D15"/>
    </sheetView>
  </sheetViews>
  <sheetFormatPr defaultRowHeight="12.75" x14ac:dyDescent="0.2"/>
  <sheetData>
    <row r="1" spans="1:13" ht="15.75" x14ac:dyDescent="0.2">
      <c r="A1" s="317" t="s">
        <v>398</v>
      </c>
    </row>
    <row r="3" spans="1:13" x14ac:dyDescent="0.2">
      <c r="A3" s="555" t="s">
        <v>397</v>
      </c>
      <c r="B3" s="556"/>
      <c r="C3" s="556"/>
      <c r="D3" s="556"/>
      <c r="E3" s="556"/>
      <c r="F3" s="556"/>
      <c r="G3" s="556"/>
      <c r="H3" s="556"/>
      <c r="I3" s="556"/>
    </row>
    <row r="4" spans="1:13" x14ac:dyDescent="0.2">
      <c r="A4" s="556"/>
      <c r="B4" s="556"/>
      <c r="C4" s="556"/>
      <c r="D4" s="556"/>
      <c r="E4" s="556"/>
      <c r="F4" s="556"/>
      <c r="G4" s="556"/>
      <c r="H4" s="556"/>
      <c r="I4" s="556"/>
    </row>
    <row r="5" spans="1:13" x14ac:dyDescent="0.2">
      <c r="A5" s="556"/>
      <c r="B5" s="556"/>
      <c r="C5" s="556"/>
      <c r="D5" s="556"/>
      <c r="E5" s="556"/>
      <c r="F5" s="556"/>
      <c r="G5" s="556"/>
      <c r="H5" s="556"/>
      <c r="I5" s="556"/>
    </row>
    <row r="6" spans="1:13" x14ac:dyDescent="0.2">
      <c r="A6" s="556"/>
      <c r="B6" s="556"/>
      <c r="C6" s="556"/>
      <c r="D6" s="556"/>
      <c r="E6" s="556"/>
      <c r="F6" s="556"/>
      <c r="G6" s="556"/>
      <c r="H6" s="556"/>
      <c r="I6" s="556"/>
    </row>
    <row r="7" spans="1:13" x14ac:dyDescent="0.2">
      <c r="A7" s="556"/>
      <c r="B7" s="556"/>
      <c r="C7" s="556"/>
      <c r="D7" s="556"/>
      <c r="E7" s="556"/>
      <c r="F7" s="556"/>
      <c r="G7" s="556"/>
      <c r="H7" s="556"/>
      <c r="I7" s="556"/>
    </row>
    <row r="8" spans="1:13" x14ac:dyDescent="0.2">
      <c r="D8" t="s">
        <v>403</v>
      </c>
    </row>
    <row r="9" spans="1:13" x14ac:dyDescent="0.2">
      <c r="A9" t="s">
        <v>399</v>
      </c>
      <c r="C9" s="320">
        <v>20000</v>
      </c>
      <c r="D9" s="319">
        <f>C9</f>
        <v>20000</v>
      </c>
    </row>
    <row r="10" spans="1:13" x14ac:dyDescent="0.2">
      <c r="A10" t="s">
        <v>400</v>
      </c>
      <c r="C10" s="320">
        <v>5000</v>
      </c>
      <c r="D10" s="319">
        <f>C10/(1.1)</f>
        <v>4545.454545454545</v>
      </c>
    </row>
    <row r="11" spans="1:13" x14ac:dyDescent="0.2">
      <c r="A11" t="s">
        <v>401</v>
      </c>
      <c r="C11" s="320">
        <v>10000</v>
      </c>
      <c r="D11" s="319">
        <f>C11/(1.1)^2</f>
        <v>8264.4628099173533</v>
      </c>
      <c r="M11" s="351"/>
    </row>
    <row r="12" spans="1:13" x14ac:dyDescent="0.2">
      <c r="A12" t="s">
        <v>402</v>
      </c>
      <c r="C12" s="320">
        <v>12000</v>
      </c>
      <c r="D12" s="319">
        <f>C12/(1.1)^3</f>
        <v>9015.77761081893</v>
      </c>
    </row>
    <row r="13" spans="1:13" x14ac:dyDescent="0.2">
      <c r="D13" s="320"/>
      <c r="K13" s="352"/>
    </row>
    <row r="14" spans="1:13" x14ac:dyDescent="0.2">
      <c r="A14" t="s">
        <v>404</v>
      </c>
      <c r="D14" s="320">
        <f>D12+D11+D10</f>
        <v>21825.694966190829</v>
      </c>
    </row>
    <row r="15" spans="1:13" x14ac:dyDescent="0.2">
      <c r="A15" s="318" t="s">
        <v>405</v>
      </c>
      <c r="D15" s="353">
        <f>D14-D9</f>
        <v>1825.6949661908293</v>
      </c>
    </row>
    <row r="24" spans="10:15" x14ac:dyDescent="0.2">
      <c r="J24" s="321"/>
      <c r="K24" s="321"/>
      <c r="L24" s="321"/>
      <c r="M24" s="321"/>
      <c r="N24" s="321"/>
      <c r="O24" s="321"/>
    </row>
    <row r="25" spans="10:15" x14ac:dyDescent="0.2">
      <c r="J25" s="322"/>
      <c r="K25" s="322"/>
      <c r="L25" s="322"/>
      <c r="M25" s="322"/>
      <c r="N25" s="322"/>
      <c r="O25" s="322"/>
    </row>
  </sheetData>
  <mergeCells count="1">
    <mergeCell ref="A3:I7"/>
  </mergeCells>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14" sqref="A14"/>
    </sheetView>
  </sheetViews>
  <sheetFormatPr defaultRowHeight="18" x14ac:dyDescent="0.25"/>
  <cols>
    <col min="1" max="7" width="9.140625" style="45"/>
    <col min="8" max="8" width="42" style="45" customWidth="1"/>
    <col min="9" max="16384" width="9.140625" style="45"/>
  </cols>
  <sheetData>
    <row r="1" spans="1:8" ht="18.75" thickTop="1" x14ac:dyDescent="0.25">
      <c r="A1" s="396" t="s">
        <v>58</v>
      </c>
      <c r="B1" s="397"/>
      <c r="C1" s="398"/>
      <c r="D1" s="46"/>
      <c r="E1" s="46"/>
      <c r="F1" s="46"/>
      <c r="G1" s="46"/>
      <c r="H1" s="47"/>
    </row>
    <row r="2" spans="1:8" ht="18.75" thickBot="1" x14ac:dyDescent="0.3">
      <c r="A2" s="399"/>
      <c r="B2" s="400"/>
      <c r="C2" s="401"/>
      <c r="D2" s="48"/>
      <c r="E2" s="48"/>
      <c r="F2" s="48"/>
      <c r="G2" s="48"/>
      <c r="H2" s="49"/>
    </row>
    <row r="3" spans="1:8" ht="18.75" thickTop="1" x14ac:dyDescent="0.25">
      <c r="A3" s="387" t="s">
        <v>59</v>
      </c>
      <c r="B3" s="388"/>
      <c r="C3" s="388"/>
      <c r="D3" s="388"/>
      <c r="E3" s="388"/>
      <c r="F3" s="388"/>
      <c r="G3" s="388"/>
      <c r="H3" s="389"/>
    </row>
    <row r="4" spans="1:8" x14ac:dyDescent="0.25">
      <c r="A4" s="390"/>
      <c r="B4" s="391"/>
      <c r="C4" s="391"/>
      <c r="D4" s="391"/>
      <c r="E4" s="391"/>
      <c r="F4" s="391"/>
      <c r="G4" s="391"/>
      <c r="H4" s="392"/>
    </row>
    <row r="5" spans="1:8" x14ac:dyDescent="0.25">
      <c r="A5" s="390"/>
      <c r="B5" s="391"/>
      <c r="C5" s="391"/>
      <c r="D5" s="391"/>
      <c r="E5" s="391"/>
      <c r="F5" s="391"/>
      <c r="G5" s="391"/>
      <c r="H5" s="392"/>
    </row>
    <row r="6" spans="1:8" x14ac:dyDescent="0.25">
      <c r="A6" s="390"/>
      <c r="B6" s="391"/>
      <c r="C6" s="391"/>
      <c r="D6" s="391"/>
      <c r="E6" s="391"/>
      <c r="F6" s="391"/>
      <c r="G6" s="391"/>
      <c r="H6" s="392"/>
    </row>
    <row r="7" spans="1:8" ht="18.75" thickBot="1" x14ac:dyDescent="0.3">
      <c r="A7" s="393"/>
      <c r="B7" s="394"/>
      <c r="C7" s="394"/>
      <c r="D7" s="394"/>
      <c r="E7" s="394"/>
      <c r="F7" s="394"/>
      <c r="G7" s="394"/>
      <c r="H7" s="395"/>
    </row>
    <row r="8" spans="1:8" ht="18.75" thickTop="1" x14ac:dyDescent="0.25">
      <c r="A8" s="408" t="s">
        <v>145</v>
      </c>
      <c r="B8" s="409"/>
      <c r="C8" s="409"/>
      <c r="D8" s="409"/>
      <c r="E8" s="409"/>
      <c r="F8" s="409"/>
      <c r="G8" s="409"/>
      <c r="H8" s="410"/>
    </row>
    <row r="9" spans="1:8" ht="18.75" thickBot="1" x14ac:dyDescent="0.3">
      <c r="A9" s="411"/>
      <c r="B9" s="412"/>
      <c r="C9" s="412"/>
      <c r="D9" s="412"/>
      <c r="E9" s="412"/>
      <c r="F9" s="412"/>
      <c r="G9" s="412"/>
      <c r="H9" s="413"/>
    </row>
    <row r="10" spans="1:8" ht="18.75" thickTop="1" x14ac:dyDescent="0.25">
      <c r="A10" s="50"/>
      <c r="B10" s="48"/>
      <c r="C10" s="48"/>
      <c r="D10" s="48"/>
      <c r="E10" s="48"/>
      <c r="F10" s="48"/>
      <c r="G10" s="48"/>
      <c r="H10" s="49"/>
    </row>
    <row r="11" spans="1:8" ht="18.75" thickBot="1" x14ac:dyDescent="0.3">
      <c r="A11" s="50"/>
      <c r="B11" s="48"/>
      <c r="C11" s="48"/>
      <c r="D11" s="48"/>
      <c r="E11" s="48"/>
      <c r="F11" s="48"/>
      <c r="G11" s="48"/>
      <c r="H11" s="49"/>
    </row>
    <row r="12" spans="1:8" ht="18.75" thickTop="1" x14ac:dyDescent="0.25">
      <c r="A12" s="402" t="s">
        <v>257</v>
      </c>
      <c r="B12" s="403"/>
      <c r="C12" s="403"/>
      <c r="D12" s="403"/>
      <c r="E12" s="404"/>
      <c r="F12" s="48"/>
      <c r="G12" s="48"/>
      <c r="H12" s="49"/>
    </row>
    <row r="13" spans="1:8" ht="18.75" thickBot="1" x14ac:dyDescent="0.3">
      <c r="A13" s="405"/>
      <c r="B13" s="406"/>
      <c r="C13" s="406"/>
      <c r="D13" s="406"/>
      <c r="E13" s="407"/>
      <c r="F13" s="48"/>
      <c r="G13" s="48"/>
      <c r="H13" s="49"/>
    </row>
    <row r="14" spans="1:8" ht="18.75" thickTop="1" x14ac:dyDescent="0.25">
      <c r="A14" s="50"/>
      <c r="B14" s="48"/>
      <c r="C14" s="48"/>
      <c r="D14" s="48"/>
      <c r="E14" s="48"/>
      <c r="F14" s="48"/>
      <c r="G14" s="48"/>
      <c r="H14" s="49"/>
    </row>
    <row r="15" spans="1:8" ht="18.75" thickBot="1" x14ac:dyDescent="0.3">
      <c r="A15" s="51"/>
      <c r="B15" s="52"/>
      <c r="C15" s="52"/>
      <c r="D15" s="52"/>
      <c r="E15" s="52"/>
      <c r="F15" s="52"/>
      <c r="G15" s="52"/>
      <c r="H15" s="53"/>
    </row>
    <row r="16" spans="1:8" ht="18.75" thickTop="1" x14ac:dyDescent="0.25"/>
  </sheetData>
  <mergeCells count="4">
    <mergeCell ref="A3:H7"/>
    <mergeCell ref="A1:C2"/>
    <mergeCell ref="A12:E13"/>
    <mergeCell ref="A8:H9"/>
  </mergeCells>
  <phoneticPr fontId="3"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
  <sheetViews>
    <sheetView workbookViewId="0">
      <selection activeCell="G14" sqref="G14"/>
    </sheetView>
  </sheetViews>
  <sheetFormatPr defaultRowHeight="12.75" x14ac:dyDescent="0.2"/>
  <cols>
    <col min="1" max="1" width="10.5703125" style="188" customWidth="1"/>
    <col min="2" max="2" width="11.5703125" style="188" customWidth="1"/>
    <col min="3" max="3" width="10.28515625" style="188" customWidth="1"/>
    <col min="4" max="4" width="9.140625" style="188"/>
    <col min="5" max="5" width="11.5703125" style="188" customWidth="1"/>
    <col min="6" max="16384" width="9.140625" style="188"/>
  </cols>
  <sheetData>
    <row r="1" spans="1:10" x14ac:dyDescent="0.2">
      <c r="A1" s="187" t="s">
        <v>204</v>
      </c>
    </row>
    <row r="2" spans="1:10" x14ac:dyDescent="0.2">
      <c r="A2" s="188" t="s">
        <v>205</v>
      </c>
    </row>
    <row r="4" spans="1:10" x14ac:dyDescent="0.2">
      <c r="A4" s="189" t="s">
        <v>206</v>
      </c>
    </row>
    <row r="5" spans="1:10" x14ac:dyDescent="0.2">
      <c r="A5" s="189" t="s">
        <v>207</v>
      </c>
    </row>
    <row r="6" spans="1:10" x14ac:dyDescent="0.2">
      <c r="B6" s="188" t="s">
        <v>124</v>
      </c>
      <c r="C6" s="188">
        <v>2850000</v>
      </c>
      <c r="F6" s="211" t="s">
        <v>246</v>
      </c>
    </row>
    <row r="7" spans="1:10" x14ac:dyDescent="0.2">
      <c r="B7" s="188" t="s">
        <v>122</v>
      </c>
      <c r="C7" s="188">
        <v>8.2500000000000004E-2</v>
      </c>
      <c r="F7" s="558" t="s">
        <v>247</v>
      </c>
      <c r="G7" s="558"/>
      <c r="H7" s="558"/>
      <c r="I7" s="558"/>
      <c r="J7" s="558"/>
    </row>
    <row r="8" spans="1:10" x14ac:dyDescent="0.2">
      <c r="B8" s="188" t="s">
        <v>123</v>
      </c>
      <c r="C8" s="188">
        <v>30</v>
      </c>
      <c r="F8" s="211" t="s">
        <v>248</v>
      </c>
    </row>
    <row r="9" spans="1:10" x14ac:dyDescent="0.2">
      <c r="B9" s="188" t="s">
        <v>208</v>
      </c>
      <c r="C9" s="190">
        <f>INT(PMT(C7,C8,-C6))</f>
        <v>259153</v>
      </c>
      <c r="F9" s="558" t="s">
        <v>249</v>
      </c>
      <c r="G9" s="558"/>
      <c r="H9" s="558"/>
      <c r="I9" s="558"/>
      <c r="J9" s="558"/>
    </row>
    <row r="10" spans="1:10" x14ac:dyDescent="0.2">
      <c r="F10" s="558"/>
      <c r="G10" s="558"/>
      <c r="H10" s="558"/>
      <c r="I10" s="558"/>
      <c r="J10" s="558"/>
    </row>
    <row r="11" spans="1:10" x14ac:dyDescent="0.2">
      <c r="F11" s="212" t="s">
        <v>250</v>
      </c>
    </row>
    <row r="12" spans="1:10" x14ac:dyDescent="0.2">
      <c r="B12" s="557" t="s">
        <v>209</v>
      </c>
      <c r="C12" s="557"/>
      <c r="D12" s="557"/>
      <c r="E12" s="188" t="s">
        <v>210</v>
      </c>
      <c r="F12" s="212"/>
    </row>
    <row r="13" spans="1:10" x14ac:dyDescent="0.2">
      <c r="A13" s="188" t="s">
        <v>123</v>
      </c>
      <c r="B13" s="188" t="s">
        <v>211</v>
      </c>
      <c r="C13" s="188" t="s">
        <v>124</v>
      </c>
      <c r="D13" s="188" t="s">
        <v>45</v>
      </c>
      <c r="E13" s="188" t="s">
        <v>212</v>
      </c>
    </row>
    <row r="14" spans="1:10" x14ac:dyDescent="0.2">
      <c r="A14" s="188">
        <v>1</v>
      </c>
      <c r="B14" s="188">
        <f>INT(C6*C7)</f>
        <v>235125</v>
      </c>
      <c r="C14" s="188">
        <f>D14-B14</f>
        <v>24028</v>
      </c>
      <c r="D14" s="188">
        <f>$C$9</f>
        <v>259153</v>
      </c>
      <c r="E14" s="188">
        <f>C6-C14</f>
        <v>2825972</v>
      </c>
    </row>
    <row r="15" spans="1:10" x14ac:dyDescent="0.2">
      <c r="A15" s="188">
        <v>2</v>
      </c>
      <c r="B15" s="188">
        <f>INT($C$7*E14)</f>
        <v>233142</v>
      </c>
      <c r="C15" s="188">
        <f t="shared" ref="C15:C43" si="0">D15-B15</f>
        <v>26011</v>
      </c>
      <c r="D15" s="188">
        <f t="shared" ref="D15:D43" si="1">$C$9</f>
        <v>259153</v>
      </c>
      <c r="E15" s="188">
        <f>E14-C15</f>
        <v>2799961</v>
      </c>
    </row>
    <row r="16" spans="1:10" x14ac:dyDescent="0.2">
      <c r="A16" s="188">
        <v>3</v>
      </c>
      <c r="B16" s="188">
        <f t="shared" ref="B16:B43" si="2">INT($C$7*E15)</f>
        <v>230996</v>
      </c>
      <c r="C16" s="188">
        <f t="shared" si="0"/>
        <v>28157</v>
      </c>
      <c r="D16" s="188">
        <f t="shared" si="1"/>
        <v>259153</v>
      </c>
      <c r="E16" s="188">
        <f t="shared" ref="E16:E43" si="3">E15-C16</f>
        <v>2771804</v>
      </c>
    </row>
    <row r="17" spans="1:5" x14ac:dyDescent="0.2">
      <c r="A17" s="188">
        <v>4</v>
      </c>
      <c r="B17" s="188">
        <f t="shared" si="2"/>
        <v>228673</v>
      </c>
      <c r="C17" s="188">
        <f t="shared" si="0"/>
        <v>30480</v>
      </c>
      <c r="D17" s="188">
        <f t="shared" si="1"/>
        <v>259153</v>
      </c>
      <c r="E17" s="188">
        <f t="shared" si="3"/>
        <v>2741324</v>
      </c>
    </row>
    <row r="18" spans="1:5" x14ac:dyDescent="0.2">
      <c r="A18" s="188">
        <v>5</v>
      </c>
      <c r="B18" s="188">
        <f t="shared" si="2"/>
        <v>226159</v>
      </c>
      <c r="C18" s="188">
        <f t="shared" si="0"/>
        <v>32994</v>
      </c>
      <c r="D18" s="188">
        <f t="shared" si="1"/>
        <v>259153</v>
      </c>
      <c r="E18" s="188">
        <f t="shared" si="3"/>
        <v>2708330</v>
      </c>
    </row>
    <row r="19" spans="1:5" x14ac:dyDescent="0.2">
      <c r="A19" s="188">
        <v>6</v>
      </c>
      <c r="B19" s="188">
        <f t="shared" si="2"/>
        <v>223437</v>
      </c>
      <c r="C19" s="188">
        <f t="shared" si="0"/>
        <v>35716</v>
      </c>
      <c r="D19" s="188">
        <f t="shared" si="1"/>
        <v>259153</v>
      </c>
      <c r="E19" s="188">
        <f t="shared" si="3"/>
        <v>2672614</v>
      </c>
    </row>
    <row r="20" spans="1:5" x14ac:dyDescent="0.2">
      <c r="A20" s="188">
        <v>7</v>
      </c>
      <c r="B20" s="188">
        <f t="shared" si="2"/>
        <v>220490</v>
      </c>
      <c r="C20" s="188">
        <f t="shared" si="0"/>
        <v>38663</v>
      </c>
      <c r="D20" s="188">
        <f t="shared" si="1"/>
        <v>259153</v>
      </c>
      <c r="E20" s="188">
        <f t="shared" si="3"/>
        <v>2633951</v>
      </c>
    </row>
    <row r="21" spans="1:5" x14ac:dyDescent="0.2">
      <c r="A21" s="188">
        <v>8</v>
      </c>
      <c r="B21" s="188">
        <f t="shared" si="2"/>
        <v>217300</v>
      </c>
      <c r="C21" s="188">
        <f t="shared" si="0"/>
        <v>41853</v>
      </c>
      <c r="D21" s="188">
        <f t="shared" si="1"/>
        <v>259153</v>
      </c>
      <c r="E21" s="188">
        <f t="shared" si="3"/>
        <v>2592098</v>
      </c>
    </row>
    <row r="22" spans="1:5" x14ac:dyDescent="0.2">
      <c r="A22" s="188">
        <v>9</v>
      </c>
      <c r="B22" s="188">
        <f t="shared" si="2"/>
        <v>213848</v>
      </c>
      <c r="C22" s="188">
        <f t="shared" si="0"/>
        <v>45305</v>
      </c>
      <c r="D22" s="188">
        <f t="shared" si="1"/>
        <v>259153</v>
      </c>
      <c r="E22" s="188">
        <f t="shared" si="3"/>
        <v>2546793</v>
      </c>
    </row>
    <row r="23" spans="1:5" x14ac:dyDescent="0.2">
      <c r="A23" s="188">
        <v>10</v>
      </c>
      <c r="B23" s="188">
        <f t="shared" si="2"/>
        <v>210110</v>
      </c>
      <c r="C23" s="188">
        <f t="shared" si="0"/>
        <v>49043</v>
      </c>
      <c r="D23" s="188">
        <f t="shared" si="1"/>
        <v>259153</v>
      </c>
      <c r="E23" s="188">
        <f t="shared" si="3"/>
        <v>2497750</v>
      </c>
    </row>
    <row r="24" spans="1:5" x14ac:dyDescent="0.2">
      <c r="A24" s="188">
        <v>11</v>
      </c>
      <c r="B24" s="188">
        <f t="shared" si="2"/>
        <v>206064</v>
      </c>
      <c r="C24" s="188">
        <f t="shared" si="0"/>
        <v>53089</v>
      </c>
      <c r="D24" s="188">
        <f t="shared" si="1"/>
        <v>259153</v>
      </c>
      <c r="E24" s="188">
        <f t="shared" si="3"/>
        <v>2444661</v>
      </c>
    </row>
    <row r="25" spans="1:5" x14ac:dyDescent="0.2">
      <c r="A25" s="188">
        <v>12</v>
      </c>
      <c r="B25" s="188">
        <f t="shared" si="2"/>
        <v>201684</v>
      </c>
      <c r="C25" s="188">
        <f t="shared" si="0"/>
        <v>57469</v>
      </c>
      <c r="D25" s="188">
        <f t="shared" si="1"/>
        <v>259153</v>
      </c>
      <c r="E25" s="188">
        <f t="shared" si="3"/>
        <v>2387192</v>
      </c>
    </row>
    <row r="26" spans="1:5" x14ac:dyDescent="0.2">
      <c r="A26" s="188">
        <v>13</v>
      </c>
      <c r="B26" s="188">
        <f t="shared" si="2"/>
        <v>196943</v>
      </c>
      <c r="C26" s="188">
        <f t="shared" si="0"/>
        <v>62210</v>
      </c>
      <c r="D26" s="188">
        <f t="shared" si="1"/>
        <v>259153</v>
      </c>
      <c r="E26" s="188">
        <f t="shared" si="3"/>
        <v>2324982</v>
      </c>
    </row>
    <row r="27" spans="1:5" x14ac:dyDescent="0.2">
      <c r="A27" s="188">
        <v>14</v>
      </c>
      <c r="B27" s="188">
        <f t="shared" si="2"/>
        <v>191811</v>
      </c>
      <c r="C27" s="188">
        <f t="shared" si="0"/>
        <v>67342</v>
      </c>
      <c r="D27" s="188">
        <f t="shared" si="1"/>
        <v>259153</v>
      </c>
      <c r="E27" s="188">
        <f t="shared" si="3"/>
        <v>2257640</v>
      </c>
    </row>
    <row r="28" spans="1:5" x14ac:dyDescent="0.2">
      <c r="A28" s="188">
        <v>15</v>
      </c>
      <c r="B28" s="188">
        <f t="shared" si="2"/>
        <v>186255</v>
      </c>
      <c r="C28" s="188">
        <f t="shared" si="0"/>
        <v>72898</v>
      </c>
      <c r="D28" s="188">
        <f t="shared" si="1"/>
        <v>259153</v>
      </c>
      <c r="E28" s="188">
        <f t="shared" si="3"/>
        <v>2184742</v>
      </c>
    </row>
    <row r="29" spans="1:5" x14ac:dyDescent="0.2">
      <c r="A29" s="188">
        <v>16</v>
      </c>
      <c r="B29" s="188">
        <f t="shared" si="2"/>
        <v>180241</v>
      </c>
      <c r="C29" s="188">
        <f t="shared" si="0"/>
        <v>78912</v>
      </c>
      <c r="D29" s="188">
        <f t="shared" si="1"/>
        <v>259153</v>
      </c>
      <c r="E29" s="188">
        <f t="shared" si="3"/>
        <v>2105830</v>
      </c>
    </row>
    <row r="30" spans="1:5" x14ac:dyDescent="0.2">
      <c r="A30" s="188">
        <v>17</v>
      </c>
      <c r="B30" s="188">
        <f t="shared" si="2"/>
        <v>173730</v>
      </c>
      <c r="C30" s="188">
        <f t="shared" si="0"/>
        <v>85423</v>
      </c>
      <c r="D30" s="188">
        <f t="shared" si="1"/>
        <v>259153</v>
      </c>
      <c r="E30" s="188">
        <f t="shared" si="3"/>
        <v>2020407</v>
      </c>
    </row>
    <row r="31" spans="1:5" x14ac:dyDescent="0.2">
      <c r="A31" s="188">
        <v>18</v>
      </c>
      <c r="B31" s="188">
        <f t="shared" si="2"/>
        <v>166683</v>
      </c>
      <c r="C31" s="188">
        <f t="shared" si="0"/>
        <v>92470</v>
      </c>
      <c r="D31" s="188">
        <f t="shared" si="1"/>
        <v>259153</v>
      </c>
      <c r="E31" s="188">
        <f t="shared" si="3"/>
        <v>1927937</v>
      </c>
    </row>
    <row r="32" spans="1:5" x14ac:dyDescent="0.2">
      <c r="A32" s="188">
        <v>19</v>
      </c>
      <c r="B32" s="188">
        <f t="shared" si="2"/>
        <v>159054</v>
      </c>
      <c r="C32" s="188">
        <f t="shared" si="0"/>
        <v>100099</v>
      </c>
      <c r="D32" s="188">
        <f t="shared" si="1"/>
        <v>259153</v>
      </c>
      <c r="E32" s="188">
        <f t="shared" si="3"/>
        <v>1827838</v>
      </c>
    </row>
    <row r="33" spans="1:5" x14ac:dyDescent="0.2">
      <c r="A33" s="188">
        <v>20</v>
      </c>
      <c r="B33" s="188">
        <f t="shared" si="2"/>
        <v>150796</v>
      </c>
      <c r="C33" s="188">
        <f t="shared" si="0"/>
        <v>108357</v>
      </c>
      <c r="D33" s="188">
        <f t="shared" si="1"/>
        <v>259153</v>
      </c>
      <c r="E33" s="188">
        <f t="shared" si="3"/>
        <v>1719481</v>
      </c>
    </row>
    <row r="34" spans="1:5" x14ac:dyDescent="0.2">
      <c r="A34" s="188">
        <v>21</v>
      </c>
      <c r="B34" s="188">
        <f t="shared" si="2"/>
        <v>141857</v>
      </c>
      <c r="C34" s="188">
        <f t="shared" si="0"/>
        <v>117296</v>
      </c>
      <c r="D34" s="188">
        <f t="shared" si="1"/>
        <v>259153</v>
      </c>
      <c r="E34" s="188">
        <f t="shared" si="3"/>
        <v>1602185</v>
      </c>
    </row>
    <row r="35" spans="1:5" x14ac:dyDescent="0.2">
      <c r="A35" s="188">
        <v>22</v>
      </c>
      <c r="B35" s="188">
        <f t="shared" si="2"/>
        <v>132180</v>
      </c>
      <c r="C35" s="188">
        <f t="shared" si="0"/>
        <v>126973</v>
      </c>
      <c r="D35" s="188">
        <f t="shared" si="1"/>
        <v>259153</v>
      </c>
      <c r="E35" s="188">
        <f t="shared" si="3"/>
        <v>1475212</v>
      </c>
    </row>
    <row r="36" spans="1:5" x14ac:dyDescent="0.2">
      <c r="A36" s="188">
        <v>23</v>
      </c>
      <c r="B36" s="188">
        <f t="shared" si="2"/>
        <v>121704</v>
      </c>
      <c r="C36" s="188">
        <f t="shared" si="0"/>
        <v>137449</v>
      </c>
      <c r="D36" s="188">
        <f t="shared" si="1"/>
        <v>259153</v>
      </c>
      <c r="E36" s="188">
        <f t="shared" si="3"/>
        <v>1337763</v>
      </c>
    </row>
    <row r="37" spans="1:5" x14ac:dyDescent="0.2">
      <c r="A37" s="188">
        <v>24</v>
      </c>
      <c r="B37" s="188">
        <f t="shared" si="2"/>
        <v>110365</v>
      </c>
      <c r="C37" s="188">
        <f t="shared" si="0"/>
        <v>148788</v>
      </c>
      <c r="D37" s="188">
        <f t="shared" si="1"/>
        <v>259153</v>
      </c>
      <c r="E37" s="188">
        <f t="shared" si="3"/>
        <v>1188975</v>
      </c>
    </row>
    <row r="38" spans="1:5" x14ac:dyDescent="0.2">
      <c r="A38" s="188">
        <v>25</v>
      </c>
      <c r="B38" s="188">
        <f t="shared" si="2"/>
        <v>98090</v>
      </c>
      <c r="C38" s="188">
        <f t="shared" si="0"/>
        <v>161063</v>
      </c>
      <c r="D38" s="188">
        <f t="shared" si="1"/>
        <v>259153</v>
      </c>
      <c r="E38" s="188">
        <f t="shared" si="3"/>
        <v>1027912</v>
      </c>
    </row>
    <row r="39" spans="1:5" x14ac:dyDescent="0.2">
      <c r="A39" s="188">
        <v>26</v>
      </c>
      <c r="B39" s="188">
        <f t="shared" si="2"/>
        <v>84802</v>
      </c>
      <c r="C39" s="188">
        <f t="shared" si="0"/>
        <v>174351</v>
      </c>
      <c r="D39" s="188">
        <f t="shared" si="1"/>
        <v>259153</v>
      </c>
      <c r="E39" s="188">
        <f t="shared" si="3"/>
        <v>853561</v>
      </c>
    </row>
    <row r="40" spans="1:5" x14ac:dyDescent="0.2">
      <c r="A40" s="188">
        <v>27</v>
      </c>
      <c r="B40" s="188">
        <f t="shared" si="2"/>
        <v>70418</v>
      </c>
      <c r="C40" s="188">
        <f t="shared" si="0"/>
        <v>188735</v>
      </c>
      <c r="D40" s="188">
        <f t="shared" si="1"/>
        <v>259153</v>
      </c>
      <c r="E40" s="188">
        <f t="shared" si="3"/>
        <v>664826</v>
      </c>
    </row>
    <row r="41" spans="1:5" x14ac:dyDescent="0.2">
      <c r="A41" s="188">
        <v>28</v>
      </c>
      <c r="B41" s="188">
        <f t="shared" si="2"/>
        <v>54848</v>
      </c>
      <c r="C41" s="188">
        <f t="shared" si="0"/>
        <v>204305</v>
      </c>
      <c r="D41" s="188">
        <f t="shared" si="1"/>
        <v>259153</v>
      </c>
      <c r="E41" s="188">
        <f t="shared" si="3"/>
        <v>460521</v>
      </c>
    </row>
    <row r="42" spans="1:5" x14ac:dyDescent="0.2">
      <c r="A42" s="188">
        <v>29</v>
      </c>
      <c r="B42" s="188">
        <f t="shared" si="2"/>
        <v>37992</v>
      </c>
      <c r="C42" s="188">
        <f t="shared" si="0"/>
        <v>221161</v>
      </c>
      <c r="D42" s="188">
        <f t="shared" si="1"/>
        <v>259153</v>
      </c>
      <c r="E42" s="188">
        <f t="shared" si="3"/>
        <v>239360</v>
      </c>
    </row>
    <row r="43" spans="1:5" x14ac:dyDescent="0.2">
      <c r="A43" s="188">
        <v>30</v>
      </c>
      <c r="B43" s="188">
        <f t="shared" si="2"/>
        <v>19747</v>
      </c>
      <c r="C43" s="188">
        <f t="shared" si="0"/>
        <v>239406</v>
      </c>
      <c r="D43" s="188">
        <f t="shared" si="1"/>
        <v>259153</v>
      </c>
      <c r="E43" s="188">
        <f t="shared" si="3"/>
        <v>-46</v>
      </c>
    </row>
  </sheetData>
  <mergeCells count="3">
    <mergeCell ref="B12:D12"/>
    <mergeCell ref="F9:J10"/>
    <mergeCell ref="F7:J7"/>
  </mergeCells>
  <phoneticPr fontId="3" type="noConversion"/>
  <pageMargins left="0.75" right="0.75" top="1" bottom="1" header="0.5" footer="0.5"/>
  <headerFooter alignWithMargins="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G27" sqref="G27"/>
    </sheetView>
  </sheetViews>
  <sheetFormatPr defaultRowHeight="12" x14ac:dyDescent="0.2"/>
  <cols>
    <col min="1" max="1" width="17.7109375" style="270" customWidth="1"/>
    <col min="2" max="2" width="11.85546875" style="270" customWidth="1"/>
    <col min="3" max="16384" width="9.140625" style="270"/>
  </cols>
  <sheetData>
    <row r="1" spans="1:6" ht="17.25" thickTop="1" thickBot="1" x14ac:dyDescent="0.3">
      <c r="A1" s="267" t="s">
        <v>295</v>
      </c>
      <c r="B1" s="268"/>
      <c r="C1" s="268"/>
      <c r="D1" s="269"/>
    </row>
    <row r="2" spans="1:6" ht="13.5" thickTop="1" thickBot="1" x14ac:dyDescent="0.25">
      <c r="A2" s="271">
        <v>30</v>
      </c>
      <c r="B2" s="272"/>
      <c r="C2" s="271"/>
      <c r="D2" s="273"/>
      <c r="E2" s="274"/>
    </row>
    <row r="3" spans="1:6" ht="13.5" thickTop="1" thickBot="1" x14ac:dyDescent="0.25">
      <c r="A3" s="271">
        <v>28</v>
      </c>
      <c r="B3" s="272"/>
      <c r="C3" s="271"/>
      <c r="D3" s="273"/>
    </row>
    <row r="4" spans="1:6" ht="13.5" thickTop="1" thickBot="1" x14ac:dyDescent="0.25">
      <c r="A4" s="271">
        <v>3</v>
      </c>
      <c r="B4" s="272"/>
      <c r="C4" s="271"/>
      <c r="D4" s="273"/>
    </row>
    <row r="5" spans="1:6" ht="13.5" thickTop="1" thickBot="1" x14ac:dyDescent="0.25">
      <c r="A5" s="271">
        <v>24</v>
      </c>
      <c r="B5" s="272"/>
      <c r="C5" s="271"/>
      <c r="D5" s="273"/>
    </row>
    <row r="6" spans="1:6" ht="13.5" thickTop="1" thickBot="1" x14ac:dyDescent="0.25">
      <c r="A6" s="271">
        <v>20</v>
      </c>
      <c r="B6" s="272"/>
      <c r="C6" s="271"/>
      <c r="D6" s="273"/>
    </row>
    <row r="7" spans="1:6" ht="13.5" thickTop="1" thickBot="1" x14ac:dyDescent="0.25">
      <c r="A7" s="271">
        <v>22</v>
      </c>
      <c r="B7" s="272"/>
      <c r="C7" s="271"/>
      <c r="D7" s="273"/>
    </row>
    <row r="8" spans="1:6" ht="13.5" thickTop="1" thickBot="1" x14ac:dyDescent="0.25">
      <c r="A8" s="271">
        <v>18</v>
      </c>
      <c r="B8" s="272"/>
      <c r="C8" s="271"/>
      <c r="D8" s="273"/>
    </row>
    <row r="9" spans="1:6" ht="13.5" thickTop="1" thickBot="1" x14ac:dyDescent="0.25">
      <c r="A9" s="271">
        <v>23</v>
      </c>
      <c r="B9" s="272"/>
      <c r="C9" s="271"/>
      <c r="D9" s="273"/>
    </row>
    <row r="10" spans="1:6" ht="13.5" thickTop="1" thickBot="1" x14ac:dyDescent="0.25">
      <c r="A10" s="271">
        <v>17</v>
      </c>
      <c r="B10" s="272"/>
      <c r="C10" s="271"/>
      <c r="D10" s="273"/>
    </row>
    <row r="11" spans="1:6" ht="13.5" thickTop="1" thickBot="1" x14ac:dyDescent="0.25">
      <c r="A11" s="271">
        <v>7</v>
      </c>
      <c r="B11" s="272"/>
      <c r="C11" s="271"/>
      <c r="D11" s="273"/>
    </row>
    <row r="12" spans="1:6" ht="13.5" thickTop="1" thickBot="1" x14ac:dyDescent="0.25">
      <c r="A12" s="275">
        <f>SUM(A2:A11)</f>
        <v>192</v>
      </c>
      <c r="B12" s="271"/>
      <c r="C12" s="275"/>
      <c r="D12" s="273"/>
      <c r="F12" s="276"/>
    </row>
    <row r="13" spans="1:6" ht="13.5" thickTop="1" thickBot="1" x14ac:dyDescent="0.25">
      <c r="A13" s="273" t="s">
        <v>296</v>
      </c>
      <c r="B13" s="277">
        <f>AVERAGE(A2:A11)</f>
        <v>19.2</v>
      </c>
      <c r="C13" s="278" t="s">
        <v>297</v>
      </c>
      <c r="D13" s="273"/>
      <c r="F13" s="279"/>
    </row>
    <row r="14" spans="1:6" ht="13.5" thickTop="1" thickBot="1" x14ac:dyDescent="0.25">
      <c r="A14" s="273" t="s">
        <v>298</v>
      </c>
      <c r="B14" s="271">
        <f>MAX(A2:A11)</f>
        <v>30</v>
      </c>
      <c r="C14" s="280" t="s">
        <v>299</v>
      </c>
      <c r="D14" s="273"/>
    </row>
    <row r="15" spans="1:6" ht="13.5" thickTop="1" thickBot="1" x14ac:dyDescent="0.25">
      <c r="A15" s="273" t="s">
        <v>300</v>
      </c>
      <c r="B15" s="271">
        <f>MIN(A2:A11)</f>
        <v>3</v>
      </c>
      <c r="C15" s="280" t="s">
        <v>301</v>
      </c>
      <c r="D15" s="273"/>
    </row>
    <row r="16" spans="1:6" ht="13.5" thickTop="1" thickBot="1" x14ac:dyDescent="0.25">
      <c r="A16" s="273" t="s">
        <v>302</v>
      </c>
      <c r="B16" s="271">
        <f>COUNT(A2:A11)</f>
        <v>10</v>
      </c>
      <c r="C16" s="280" t="s">
        <v>303</v>
      </c>
      <c r="D16" s="273"/>
      <c r="F16" s="281"/>
    </row>
    <row r="17" spans="1:8" ht="13.5" thickTop="1" thickBot="1" x14ac:dyDescent="0.25">
      <c r="A17" s="273" t="s">
        <v>304</v>
      </c>
      <c r="B17" s="282">
        <f>VAR(A2:A11)</f>
        <v>73.066666666666663</v>
      </c>
      <c r="C17" s="280" t="s">
        <v>305</v>
      </c>
      <c r="D17" s="273"/>
      <c r="F17" s="283"/>
    </row>
    <row r="18" spans="1:8" ht="13.5" thickTop="1" thickBot="1" x14ac:dyDescent="0.25">
      <c r="A18" s="284" t="s">
        <v>306</v>
      </c>
      <c r="B18" s="285">
        <f>STDEV(A2:A11)</f>
        <v>8.5479042265731238</v>
      </c>
      <c r="C18" s="286" t="s">
        <v>307</v>
      </c>
      <c r="D18" s="284"/>
      <c r="F18" s="287"/>
    </row>
    <row r="19" spans="1:8" ht="12.75" thickTop="1" x14ac:dyDescent="0.2">
      <c r="A19" s="559" t="s">
        <v>308</v>
      </c>
      <c r="B19" s="560"/>
      <c r="C19" s="560"/>
      <c r="D19" s="560"/>
      <c r="E19" s="560"/>
      <c r="F19" s="560"/>
      <c r="G19" s="560"/>
      <c r="H19" s="561"/>
    </row>
    <row r="20" spans="1:8" ht="12.75" thickBot="1" x14ac:dyDescent="0.25">
      <c r="A20" s="562"/>
      <c r="B20" s="563"/>
      <c r="C20" s="563"/>
      <c r="D20" s="563"/>
      <c r="E20" s="563"/>
      <c r="F20" s="563"/>
      <c r="G20" s="563"/>
      <c r="H20" s="564"/>
    </row>
    <row r="21" spans="1:8" ht="12.75" thickTop="1" x14ac:dyDescent="0.2"/>
  </sheetData>
  <mergeCells count="1">
    <mergeCell ref="A19:H20"/>
  </mergeCells>
  <phoneticPr fontId="3"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G24" sqref="G24"/>
    </sheetView>
  </sheetViews>
  <sheetFormatPr defaultRowHeight="12.75" x14ac:dyDescent="0.2"/>
  <cols>
    <col min="1" max="1" width="28.140625" style="70" customWidth="1"/>
    <col min="2" max="2" width="7.28515625" style="70" customWidth="1"/>
    <col min="3" max="3" width="7.85546875" style="70" customWidth="1"/>
    <col min="4" max="4" width="8.140625" style="70" customWidth="1"/>
    <col min="5" max="5" width="7.85546875" style="70" customWidth="1"/>
    <col min="6" max="6" width="7.28515625" style="70" customWidth="1"/>
    <col min="7" max="8" width="8.28515625" style="70" customWidth="1"/>
    <col min="9" max="9" width="7.85546875" style="70" customWidth="1"/>
    <col min="10" max="16384" width="9.140625" style="70"/>
  </cols>
  <sheetData>
    <row r="1" spans="1:9" ht="13.5" thickTop="1" x14ac:dyDescent="0.2">
      <c r="A1" s="193" t="s">
        <v>221</v>
      </c>
      <c r="B1" s="194"/>
      <c r="C1" s="194"/>
      <c r="D1" s="194"/>
      <c r="E1" s="194"/>
      <c r="F1" s="194"/>
      <c r="G1" s="194"/>
      <c r="H1" s="195"/>
    </row>
    <row r="2" spans="1:9" x14ac:dyDescent="0.2">
      <c r="A2" s="565" t="s">
        <v>222</v>
      </c>
      <c r="B2" s="566"/>
      <c r="C2" s="566"/>
      <c r="D2" s="566"/>
      <c r="E2" s="566"/>
      <c r="F2" s="566"/>
      <c r="G2" s="566"/>
      <c r="H2" s="567"/>
    </row>
    <row r="3" spans="1:9" ht="13.5" thickBot="1" x14ac:dyDescent="0.25">
      <c r="A3" s="571" t="s">
        <v>239</v>
      </c>
      <c r="B3" s="415"/>
      <c r="C3" s="415"/>
      <c r="D3" s="415"/>
      <c r="E3" s="415"/>
      <c r="F3" s="415"/>
      <c r="G3" s="415"/>
      <c r="H3" s="572"/>
    </row>
    <row r="4" spans="1:9" ht="14.25" thickTop="1" thickBot="1" x14ac:dyDescent="0.25">
      <c r="A4" s="197"/>
      <c r="B4" s="198">
        <v>1996</v>
      </c>
      <c r="C4" s="217" t="s">
        <v>223</v>
      </c>
      <c r="D4" s="219" t="s">
        <v>224</v>
      </c>
      <c r="E4" s="198">
        <v>1995</v>
      </c>
      <c r="F4" s="217" t="s">
        <v>223</v>
      </c>
      <c r="G4" s="219" t="s">
        <v>225</v>
      </c>
      <c r="H4" s="198">
        <v>1994</v>
      </c>
      <c r="I4" s="217" t="s">
        <v>223</v>
      </c>
    </row>
    <row r="5" spans="1:9" ht="17.100000000000001" customHeight="1" thickTop="1" thickBot="1" x14ac:dyDescent="0.25">
      <c r="A5" s="199" t="s">
        <v>226</v>
      </c>
      <c r="B5" s="200">
        <v>560</v>
      </c>
      <c r="C5" s="218">
        <f>B5/$B$5</f>
        <v>1</v>
      </c>
      <c r="D5" s="220">
        <f>(B5-E5)/E5</f>
        <v>0.16666666666666666</v>
      </c>
      <c r="E5" s="200">
        <v>480</v>
      </c>
      <c r="F5" s="218">
        <f>E5/$E$5</f>
        <v>1</v>
      </c>
      <c r="G5" s="220">
        <f>(E5-H5)/H5</f>
        <v>0.14285714285714285</v>
      </c>
      <c r="H5" s="200">
        <v>420</v>
      </c>
      <c r="I5" s="218">
        <f>H5/$H$5</f>
        <v>1</v>
      </c>
    </row>
    <row r="6" spans="1:9" ht="17.100000000000001" customHeight="1" thickTop="1" thickBot="1" x14ac:dyDescent="0.25">
      <c r="A6" s="199" t="s">
        <v>227</v>
      </c>
      <c r="B6" s="200">
        <v>385</v>
      </c>
      <c r="C6" s="218">
        <f t="shared" ref="C6:C14" si="0">B6/$B$5</f>
        <v>0.6875</v>
      </c>
      <c r="D6" s="220">
        <f t="shared" ref="D6:D14" si="1">(B6-E6)/E6</f>
        <v>0.11594202898550725</v>
      </c>
      <c r="E6" s="200">
        <v>345</v>
      </c>
      <c r="F6" s="218">
        <f t="shared" ref="F6:F14" si="2">E6/$E$5</f>
        <v>0.71875</v>
      </c>
      <c r="G6" s="220">
        <f t="shared" ref="G6:G14" si="3">(E6-H6)/H6</f>
        <v>0.11290322580645161</v>
      </c>
      <c r="H6" s="200">
        <v>310</v>
      </c>
      <c r="I6" s="218">
        <f t="shared" ref="I6:I14" si="4">H6/$H$5</f>
        <v>0.73809523809523814</v>
      </c>
    </row>
    <row r="7" spans="1:9" ht="17.100000000000001" customHeight="1" thickTop="1" thickBot="1" x14ac:dyDescent="0.25">
      <c r="A7" s="199" t="s">
        <v>228</v>
      </c>
      <c r="B7" s="200">
        <f>B5-B6</f>
        <v>175</v>
      </c>
      <c r="C7" s="218">
        <f t="shared" si="0"/>
        <v>0.3125</v>
      </c>
      <c r="D7" s="220">
        <f t="shared" si="1"/>
        <v>0.29629629629629628</v>
      </c>
      <c r="E7" s="200">
        <f>E5-E6</f>
        <v>135</v>
      </c>
      <c r="F7" s="218">
        <f t="shared" si="2"/>
        <v>0.28125</v>
      </c>
      <c r="G7" s="220">
        <f t="shared" si="3"/>
        <v>0.22727272727272727</v>
      </c>
      <c r="H7" s="200">
        <f>H5-H6</f>
        <v>110</v>
      </c>
      <c r="I7" s="218">
        <f t="shared" si="4"/>
        <v>0.26190476190476192</v>
      </c>
    </row>
    <row r="8" spans="1:9" ht="17.100000000000001" customHeight="1" thickTop="1" thickBot="1" x14ac:dyDescent="0.25">
      <c r="A8" s="199" t="s">
        <v>229</v>
      </c>
      <c r="B8" s="200">
        <v>14</v>
      </c>
      <c r="C8" s="218">
        <f t="shared" si="0"/>
        <v>2.5000000000000001E-2</v>
      </c>
      <c r="D8" s="220">
        <f t="shared" si="1"/>
        <v>0.16666666666666666</v>
      </c>
      <c r="E8" s="200">
        <v>12</v>
      </c>
      <c r="F8" s="218">
        <f t="shared" si="2"/>
        <v>2.5000000000000001E-2</v>
      </c>
      <c r="G8" s="220">
        <f t="shared" si="3"/>
        <v>0</v>
      </c>
      <c r="H8" s="200">
        <v>12</v>
      </c>
      <c r="I8" s="218">
        <f t="shared" si="4"/>
        <v>2.8571428571428571E-2</v>
      </c>
    </row>
    <row r="9" spans="1:9" ht="17.100000000000001" customHeight="1" thickTop="1" thickBot="1" x14ac:dyDescent="0.25">
      <c r="A9" s="199" t="s">
        <v>230</v>
      </c>
      <c r="B9" s="200">
        <v>48</v>
      </c>
      <c r="C9" s="218">
        <f t="shared" si="0"/>
        <v>8.5714285714285715E-2</v>
      </c>
      <c r="D9" s="220">
        <f t="shared" si="1"/>
        <v>1.0869565217391304</v>
      </c>
      <c r="E9" s="200">
        <v>23</v>
      </c>
      <c r="F9" s="218">
        <f t="shared" si="2"/>
        <v>4.791666666666667E-2</v>
      </c>
      <c r="G9" s="220">
        <f t="shared" si="3"/>
        <v>-0.11538461538461539</v>
      </c>
      <c r="H9" s="200">
        <v>26</v>
      </c>
      <c r="I9" s="218">
        <f t="shared" si="4"/>
        <v>6.1904761904761907E-2</v>
      </c>
    </row>
    <row r="10" spans="1:9" ht="17.100000000000001" customHeight="1" thickTop="1" thickBot="1" x14ac:dyDescent="0.25">
      <c r="A10" s="201" t="s">
        <v>231</v>
      </c>
      <c r="B10" s="200">
        <f>B7-B8-B9</f>
        <v>113</v>
      </c>
      <c r="C10" s="218">
        <f t="shared" si="0"/>
        <v>0.20178571428571429</v>
      </c>
      <c r="D10" s="220">
        <f t="shared" si="1"/>
        <v>0.13</v>
      </c>
      <c r="E10" s="200">
        <f>E7-E8-E9</f>
        <v>100</v>
      </c>
      <c r="F10" s="218">
        <f t="shared" si="2"/>
        <v>0.20833333333333334</v>
      </c>
      <c r="G10" s="220">
        <f t="shared" si="3"/>
        <v>0.3888888888888889</v>
      </c>
      <c r="H10" s="200">
        <f>H7-H8-H9</f>
        <v>72</v>
      </c>
      <c r="I10" s="218">
        <f t="shared" si="4"/>
        <v>0.17142857142857143</v>
      </c>
    </row>
    <row r="11" spans="1:9" ht="17.100000000000001" customHeight="1" thickTop="1" thickBot="1" x14ac:dyDescent="0.25">
      <c r="A11" s="199" t="s">
        <v>232</v>
      </c>
      <c r="B11" s="200">
        <v>16</v>
      </c>
      <c r="C11" s="218">
        <f t="shared" si="0"/>
        <v>2.8571428571428571E-2</v>
      </c>
      <c r="D11" s="220">
        <f t="shared" si="1"/>
        <v>-0.40740740740740738</v>
      </c>
      <c r="E11" s="200">
        <v>27</v>
      </c>
      <c r="F11" s="218">
        <f t="shared" si="2"/>
        <v>5.6250000000000001E-2</v>
      </c>
      <c r="G11" s="220">
        <f t="shared" si="3"/>
        <v>-0.12903225806451613</v>
      </c>
      <c r="H11" s="200">
        <v>31</v>
      </c>
      <c r="I11" s="218">
        <f t="shared" si="4"/>
        <v>7.3809523809523811E-2</v>
      </c>
    </row>
    <row r="12" spans="1:9" ht="20.25" customHeight="1" thickTop="1" thickBot="1" x14ac:dyDescent="0.25">
      <c r="A12" s="202" t="s">
        <v>233</v>
      </c>
      <c r="B12" s="200">
        <f>B10-B11</f>
        <v>97</v>
      </c>
      <c r="C12" s="218">
        <f t="shared" si="0"/>
        <v>0.17321428571428571</v>
      </c>
      <c r="D12" s="220">
        <f t="shared" si="1"/>
        <v>0.32876712328767121</v>
      </c>
      <c r="E12" s="200">
        <f>E10-E11</f>
        <v>73</v>
      </c>
      <c r="F12" s="218">
        <f t="shared" si="2"/>
        <v>0.15208333333333332</v>
      </c>
      <c r="G12" s="220">
        <f t="shared" si="3"/>
        <v>0.78048780487804881</v>
      </c>
      <c r="H12" s="200">
        <f>H10-H11</f>
        <v>41</v>
      </c>
      <c r="I12" s="218">
        <f t="shared" si="4"/>
        <v>9.7619047619047619E-2</v>
      </c>
    </row>
    <row r="13" spans="1:9" ht="17.100000000000001" customHeight="1" thickTop="1" thickBot="1" x14ac:dyDescent="0.25">
      <c r="A13" s="199" t="s">
        <v>234</v>
      </c>
      <c r="B13" s="200">
        <v>7</v>
      </c>
      <c r="C13" s="218">
        <f t="shared" si="0"/>
        <v>1.2500000000000001E-2</v>
      </c>
      <c r="D13" s="220">
        <f t="shared" si="1"/>
        <v>2.5</v>
      </c>
      <c r="E13" s="200">
        <v>2</v>
      </c>
      <c r="F13" s="218">
        <f t="shared" si="2"/>
        <v>4.1666666666666666E-3</v>
      </c>
      <c r="G13" s="220">
        <f t="shared" si="3"/>
        <v>-0.5</v>
      </c>
      <c r="H13" s="200">
        <v>4</v>
      </c>
      <c r="I13" s="218">
        <f t="shared" si="4"/>
        <v>9.5238095238095247E-3</v>
      </c>
    </row>
    <row r="14" spans="1:9" ht="17.100000000000001" customHeight="1" thickTop="1" thickBot="1" x14ac:dyDescent="0.25">
      <c r="A14" s="199" t="s">
        <v>235</v>
      </c>
      <c r="B14" s="200">
        <f>B12-B13</f>
        <v>90</v>
      </c>
      <c r="C14" s="218">
        <f t="shared" si="0"/>
        <v>0.16071428571428573</v>
      </c>
      <c r="D14" s="220">
        <f t="shared" si="1"/>
        <v>0.26760563380281688</v>
      </c>
      <c r="E14" s="200">
        <f>E12-E13</f>
        <v>71</v>
      </c>
      <c r="F14" s="218">
        <f t="shared" si="2"/>
        <v>0.14791666666666667</v>
      </c>
      <c r="G14" s="220">
        <f t="shared" si="3"/>
        <v>0.91891891891891897</v>
      </c>
      <c r="H14" s="200">
        <f>H12-H13</f>
        <v>37</v>
      </c>
      <c r="I14" s="218">
        <f t="shared" si="4"/>
        <v>8.8095238095238101E-2</v>
      </c>
    </row>
    <row r="15" spans="1:9" ht="15.75" thickTop="1" x14ac:dyDescent="0.2">
      <c r="A15" s="196" t="s">
        <v>236</v>
      </c>
      <c r="B15" s="194"/>
      <c r="C15" s="194"/>
      <c r="D15" s="194"/>
      <c r="E15" s="194"/>
      <c r="F15" s="195"/>
    </row>
    <row r="16" spans="1:9" ht="13.5" thickBot="1" x14ac:dyDescent="0.25">
      <c r="A16" s="568" t="s">
        <v>237</v>
      </c>
      <c r="B16" s="569"/>
      <c r="C16" s="569"/>
      <c r="D16" s="569"/>
      <c r="E16" s="569"/>
      <c r="F16" s="570"/>
    </row>
    <row r="17" ht="13.5" thickTop="1" x14ac:dyDescent="0.2"/>
  </sheetData>
  <mergeCells count="3">
    <mergeCell ref="A2:H2"/>
    <mergeCell ref="A16:F16"/>
    <mergeCell ref="A3:H3"/>
  </mergeCells>
  <phoneticPr fontId="3"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D27" sqref="D27"/>
    </sheetView>
  </sheetViews>
  <sheetFormatPr defaultRowHeight="11.25" x14ac:dyDescent="0.2"/>
  <cols>
    <col min="1" max="1" width="19.7109375" style="94" customWidth="1"/>
    <col min="2" max="2" width="15.7109375" style="94" customWidth="1"/>
    <col min="3" max="3" width="5.85546875" style="94" customWidth="1"/>
    <col min="4" max="4" width="15.7109375" style="94" customWidth="1"/>
    <col min="5" max="5" width="11.42578125" style="94" customWidth="1"/>
    <col min="6" max="6" width="1.85546875" style="94" customWidth="1"/>
    <col min="7" max="7" width="12.28515625" style="94" customWidth="1"/>
    <col min="8" max="8" width="8.28515625" style="94" customWidth="1"/>
    <col min="9" max="9" width="9.140625" style="94"/>
    <col min="10" max="10" width="7.7109375" style="94" customWidth="1"/>
    <col min="11" max="16384" width="9.140625" style="94"/>
  </cols>
  <sheetData>
    <row r="1" spans="1:10" ht="13.5" thickTop="1" x14ac:dyDescent="0.2">
      <c r="A1" s="582" t="s">
        <v>153</v>
      </c>
      <c r="B1" s="583"/>
      <c r="C1" s="583"/>
      <c r="D1" s="583"/>
      <c r="E1" s="583"/>
      <c r="F1" s="583"/>
      <c r="G1" s="583"/>
      <c r="H1" s="583"/>
      <c r="I1" s="583"/>
      <c r="J1" s="584"/>
    </row>
    <row r="2" spans="1:10" ht="12.75" x14ac:dyDescent="0.2">
      <c r="A2" s="585" t="s">
        <v>26</v>
      </c>
      <c r="B2" s="586"/>
      <c r="C2" s="586"/>
      <c r="D2" s="586"/>
      <c r="E2" s="586"/>
      <c r="F2" s="586"/>
      <c r="G2" s="586"/>
      <c r="H2" s="586"/>
      <c r="I2" s="586"/>
      <c r="J2" s="587"/>
    </row>
    <row r="3" spans="1:10" ht="13.5" thickBot="1" x14ac:dyDescent="0.25">
      <c r="A3" s="588" t="s">
        <v>23</v>
      </c>
      <c r="B3" s="589"/>
      <c r="C3" s="589"/>
      <c r="D3" s="589"/>
      <c r="E3" s="589"/>
      <c r="F3" s="589"/>
      <c r="G3" s="589"/>
      <c r="H3" s="589"/>
      <c r="I3" s="589"/>
      <c r="J3" s="590"/>
    </row>
    <row r="4" spans="1:10" ht="12" thickTop="1" x14ac:dyDescent="0.2">
      <c r="A4" s="591" t="s">
        <v>157</v>
      </c>
      <c r="B4" s="592"/>
      <c r="C4" s="592"/>
      <c r="D4" s="592"/>
      <c r="E4" s="592"/>
      <c r="F4" s="592"/>
      <c r="G4" s="592"/>
      <c r="H4" s="592"/>
      <c r="I4" s="592"/>
      <c r="J4" s="593"/>
    </row>
    <row r="5" spans="1:10" ht="12" thickBot="1" x14ac:dyDescent="0.25">
      <c r="A5" s="594"/>
      <c r="B5" s="595"/>
      <c r="C5" s="595"/>
      <c r="D5" s="595"/>
      <c r="E5" s="595"/>
      <c r="F5" s="595"/>
      <c r="G5" s="595"/>
      <c r="H5" s="595"/>
      <c r="I5" s="595"/>
      <c r="J5" s="596"/>
    </row>
    <row r="6" spans="1:10" ht="12" thickTop="1" x14ac:dyDescent="0.2">
      <c r="A6" s="597" t="s">
        <v>158</v>
      </c>
      <c r="B6" s="598"/>
      <c r="C6" s="598"/>
      <c r="D6" s="598"/>
      <c r="E6" s="598"/>
      <c r="F6" s="598"/>
      <c r="G6" s="598"/>
      <c r="H6" s="598"/>
      <c r="I6" s="598"/>
      <c r="J6" s="599"/>
    </row>
    <row r="7" spans="1:10" x14ac:dyDescent="0.2">
      <c r="A7" s="600"/>
      <c r="B7" s="601"/>
      <c r="C7" s="601"/>
      <c r="D7" s="601"/>
      <c r="E7" s="601"/>
      <c r="F7" s="601"/>
      <c r="G7" s="601"/>
      <c r="H7" s="601"/>
      <c r="I7" s="601"/>
      <c r="J7" s="602"/>
    </row>
    <row r="8" spans="1:10" ht="18" customHeight="1" x14ac:dyDescent="0.2">
      <c r="A8" s="600"/>
      <c r="B8" s="601"/>
      <c r="C8" s="601"/>
      <c r="D8" s="601"/>
      <c r="E8" s="601"/>
      <c r="F8" s="601"/>
      <c r="G8" s="601"/>
      <c r="H8" s="601"/>
      <c r="I8" s="601"/>
      <c r="J8" s="602"/>
    </row>
    <row r="9" spans="1:10" ht="5.25" hidden="1" customHeight="1" x14ac:dyDescent="0.2">
      <c r="A9" s="600"/>
      <c r="B9" s="601"/>
      <c r="C9" s="601"/>
      <c r="D9" s="601"/>
      <c r="E9" s="601"/>
      <c r="F9" s="601"/>
      <c r="G9" s="601"/>
      <c r="H9" s="601"/>
      <c r="I9" s="601"/>
      <c r="J9" s="602"/>
    </row>
    <row r="10" spans="1:10" ht="0.75" hidden="1" customHeight="1" x14ac:dyDescent="0.2">
      <c r="A10" s="600"/>
      <c r="B10" s="601"/>
      <c r="C10" s="601"/>
      <c r="D10" s="601"/>
      <c r="E10" s="601"/>
      <c r="F10" s="601"/>
      <c r="G10" s="601"/>
      <c r="H10" s="601"/>
      <c r="I10" s="601"/>
      <c r="J10" s="602"/>
    </row>
    <row r="11" spans="1:10" ht="2.25" customHeight="1" thickBot="1" x14ac:dyDescent="0.25">
      <c r="A11" s="603"/>
      <c r="B11" s="604"/>
      <c r="C11" s="604"/>
      <c r="D11" s="604"/>
      <c r="E11" s="604"/>
      <c r="F11" s="604"/>
      <c r="G11" s="604"/>
      <c r="H11" s="604"/>
      <c r="I11" s="604"/>
      <c r="J11" s="605"/>
    </row>
    <row r="12" spans="1:10" ht="12.75" thickTop="1" thickBot="1" x14ac:dyDescent="0.25">
      <c r="A12" s="105"/>
      <c r="B12" s="98"/>
      <c r="C12" s="98"/>
      <c r="D12" s="607" t="s">
        <v>152</v>
      </c>
      <c r="E12" s="607"/>
      <c r="F12" s="98"/>
      <c r="G12" s="606" t="s">
        <v>150</v>
      </c>
      <c r="H12" s="606"/>
      <c r="I12" s="606" t="s">
        <v>151</v>
      </c>
      <c r="J12" s="606"/>
    </row>
    <row r="13" spans="1:10" ht="20.25" customHeight="1" thickTop="1" thickBot="1" x14ac:dyDescent="0.25">
      <c r="A13" s="579" t="s">
        <v>3</v>
      </c>
      <c r="B13" s="580"/>
      <c r="C13" s="581"/>
      <c r="D13" s="110" t="s">
        <v>6</v>
      </c>
      <c r="E13" s="111">
        <v>5000000</v>
      </c>
      <c r="F13" s="98"/>
      <c r="G13" s="114" t="s">
        <v>12</v>
      </c>
      <c r="H13" s="115">
        <v>1000000</v>
      </c>
      <c r="I13" s="114" t="s">
        <v>149</v>
      </c>
      <c r="J13" s="115">
        <v>2000000</v>
      </c>
    </row>
    <row r="14" spans="1:10" ht="26.25" customHeight="1" thickTop="1" thickBot="1" x14ac:dyDescent="0.25">
      <c r="A14" s="102" t="s">
        <v>146</v>
      </c>
      <c r="B14" s="103" t="s">
        <v>1</v>
      </c>
      <c r="C14" s="216">
        <f>E15/E13</f>
        <v>0.6</v>
      </c>
      <c r="D14" s="110" t="s">
        <v>154</v>
      </c>
      <c r="E14" s="111">
        <v>2000000</v>
      </c>
      <c r="F14" s="98"/>
      <c r="G14" s="114" t="s">
        <v>13</v>
      </c>
      <c r="H14" s="115">
        <v>1000000</v>
      </c>
      <c r="I14" s="114" t="s">
        <v>16</v>
      </c>
      <c r="J14" s="115">
        <v>500000</v>
      </c>
    </row>
    <row r="15" spans="1:10" ht="24" thickTop="1" thickBot="1" x14ac:dyDescent="0.25">
      <c r="A15" s="102" t="s">
        <v>147</v>
      </c>
      <c r="B15" s="104" t="s">
        <v>2</v>
      </c>
      <c r="C15" s="216">
        <f>E21/E13</f>
        <v>0.18</v>
      </c>
      <c r="D15" s="110" t="s">
        <v>7</v>
      </c>
      <c r="E15" s="111">
        <f>E13-E14</f>
        <v>3000000</v>
      </c>
      <c r="F15" s="98"/>
      <c r="G15" s="114" t="s">
        <v>14</v>
      </c>
      <c r="H15" s="115">
        <v>1000000</v>
      </c>
      <c r="I15" s="114" t="s">
        <v>17</v>
      </c>
      <c r="J15" s="115">
        <v>1000000</v>
      </c>
    </row>
    <row r="16" spans="1:10" ht="25.5" customHeight="1" thickTop="1" thickBot="1" x14ac:dyDescent="0.25">
      <c r="A16" s="102" t="s">
        <v>148</v>
      </c>
      <c r="B16" s="104" t="s">
        <v>5</v>
      </c>
      <c r="C16" s="216">
        <f>E21/J13</f>
        <v>0.45</v>
      </c>
      <c r="D16" s="110" t="s">
        <v>155</v>
      </c>
      <c r="E16" s="111">
        <v>1000000</v>
      </c>
      <c r="F16" s="98"/>
      <c r="G16" s="114" t="s">
        <v>15</v>
      </c>
      <c r="H16" s="115">
        <v>500000</v>
      </c>
      <c r="I16" s="114"/>
      <c r="J16" s="116"/>
    </row>
    <row r="17" spans="1:10" ht="24" thickTop="1" thickBot="1" x14ac:dyDescent="0.25">
      <c r="A17" s="150" t="s">
        <v>160</v>
      </c>
      <c r="B17" s="104" t="s">
        <v>4</v>
      </c>
      <c r="C17" s="216">
        <f>E21/(H13+H14+H15+H16)</f>
        <v>0.25714285714285712</v>
      </c>
      <c r="D17" s="110" t="s">
        <v>156</v>
      </c>
      <c r="E17" s="111">
        <f>E15-E16</f>
        <v>2000000</v>
      </c>
      <c r="F17" s="98"/>
      <c r="G17" s="98"/>
      <c r="H17" s="98"/>
      <c r="I17" s="98"/>
      <c r="J17" s="106"/>
    </row>
    <row r="18" spans="1:10" ht="9.75" customHeight="1" thickTop="1" thickBot="1" x14ac:dyDescent="0.25">
      <c r="A18" s="107" t="s">
        <v>0</v>
      </c>
      <c r="B18" s="98"/>
      <c r="C18" s="98"/>
      <c r="D18" s="112" t="s">
        <v>8</v>
      </c>
      <c r="E18" s="113">
        <v>500000</v>
      </c>
      <c r="F18" s="98"/>
      <c r="G18" s="98"/>
      <c r="H18" s="98"/>
      <c r="I18" s="98"/>
      <c r="J18" s="106"/>
    </row>
    <row r="19" spans="1:10" ht="12" customHeight="1" thickTop="1" thickBot="1" x14ac:dyDescent="0.25">
      <c r="A19" s="101"/>
      <c r="B19" s="100"/>
      <c r="C19" s="98"/>
      <c r="D19" s="112" t="s">
        <v>9</v>
      </c>
      <c r="E19" s="113">
        <f>E17-E18</f>
        <v>1500000</v>
      </c>
      <c r="F19" s="98"/>
      <c r="G19" s="98"/>
      <c r="H19" s="98"/>
      <c r="I19" s="98"/>
      <c r="J19" s="106"/>
    </row>
    <row r="20" spans="1:10" ht="10.5" customHeight="1" thickTop="1" thickBot="1" x14ac:dyDescent="0.25">
      <c r="A20" s="573" t="s">
        <v>238</v>
      </c>
      <c r="B20" s="574"/>
      <c r="C20" s="575"/>
      <c r="D20" s="112" t="s">
        <v>10</v>
      </c>
      <c r="E20" s="113">
        <f>E19*0.4</f>
        <v>600000</v>
      </c>
      <c r="F20" s="98"/>
      <c r="G20" s="98"/>
      <c r="H20" s="98"/>
      <c r="I20" s="98"/>
      <c r="J20" s="106"/>
    </row>
    <row r="21" spans="1:10" ht="11.25" customHeight="1" thickTop="1" thickBot="1" x14ac:dyDescent="0.25">
      <c r="A21" s="576"/>
      <c r="B21" s="577"/>
      <c r="C21" s="578"/>
      <c r="D21" s="112" t="s">
        <v>11</v>
      </c>
      <c r="E21" s="113">
        <f>E19-E20</f>
        <v>900000</v>
      </c>
      <c r="F21" s="108"/>
      <c r="G21" s="108"/>
      <c r="H21" s="108"/>
      <c r="I21" s="108"/>
      <c r="J21" s="109"/>
    </row>
    <row r="22" spans="1:10" ht="12" thickTop="1" x14ac:dyDescent="0.2">
      <c r="A22" s="99"/>
      <c r="B22" s="100"/>
    </row>
    <row r="23" spans="1:10" x14ac:dyDescent="0.2">
      <c r="A23" s="99"/>
      <c r="B23" s="100"/>
    </row>
    <row r="24" spans="1:10" x14ac:dyDescent="0.2">
      <c r="A24" s="99"/>
      <c r="B24" s="100"/>
    </row>
    <row r="25" spans="1:10" x14ac:dyDescent="0.2">
      <c r="A25" s="99"/>
      <c r="B25" s="100"/>
    </row>
    <row r="26" spans="1:10" x14ac:dyDescent="0.2">
      <c r="A26" s="99"/>
      <c r="B26" s="100"/>
    </row>
    <row r="27" spans="1:10" x14ac:dyDescent="0.2">
      <c r="A27" s="99"/>
      <c r="B27" s="100"/>
    </row>
    <row r="40" ht="30" customHeight="1" x14ac:dyDescent="0.2"/>
  </sheetData>
  <mergeCells count="10">
    <mergeCell ref="A20:C21"/>
    <mergeCell ref="A13:C13"/>
    <mergeCell ref="A1:J1"/>
    <mergeCell ref="A2:J2"/>
    <mergeCell ref="A3:J3"/>
    <mergeCell ref="A4:J5"/>
    <mergeCell ref="A6:J11"/>
    <mergeCell ref="G12:H12"/>
    <mergeCell ref="I12:J12"/>
    <mergeCell ref="D12:E12"/>
  </mergeCells>
  <phoneticPr fontId="3" type="noConversion"/>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E20" sqref="E20"/>
    </sheetView>
  </sheetViews>
  <sheetFormatPr defaultRowHeight="12.75" x14ac:dyDescent="0.2"/>
  <cols>
    <col min="2" max="2" width="10.42578125" customWidth="1"/>
  </cols>
  <sheetData>
    <row r="1" spans="1:5" x14ac:dyDescent="0.2">
      <c r="A1" t="s">
        <v>446</v>
      </c>
    </row>
    <row r="2" spans="1:5" x14ac:dyDescent="0.2">
      <c r="A2" s="347" t="s">
        <v>447</v>
      </c>
    </row>
    <row r="3" spans="1:5" x14ac:dyDescent="0.2">
      <c r="A3" s="296" t="s">
        <v>448</v>
      </c>
      <c r="B3" s="296" t="s">
        <v>449</v>
      </c>
    </row>
    <row r="4" spans="1:5" x14ac:dyDescent="0.2">
      <c r="A4">
        <v>60</v>
      </c>
      <c r="B4">
        <v>2000</v>
      </c>
    </row>
    <row r="5" spans="1:5" x14ac:dyDescent="0.2">
      <c r="A5">
        <v>90</v>
      </c>
      <c r="B5">
        <v>1000</v>
      </c>
    </row>
    <row r="6" spans="1:5" x14ac:dyDescent="0.2">
      <c r="C6" s="348" t="s">
        <v>450</v>
      </c>
      <c r="D6" s="348" t="s">
        <v>451</v>
      </c>
    </row>
    <row r="7" spans="1:5" x14ac:dyDescent="0.2">
      <c r="A7" t="s">
        <v>452</v>
      </c>
      <c r="C7" s="349">
        <f>((B5-B4)/B4)/((A5-A4)/A4)</f>
        <v>-1</v>
      </c>
      <c r="D7" s="350">
        <f>(B4-B5)/(A4-A5)*(A4/B4)</f>
        <v>-1</v>
      </c>
      <c r="E7" t="s">
        <v>453</v>
      </c>
    </row>
  </sheetData>
  <phoneticPr fontId="3"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13" sqref="A13:J31"/>
    </sheetView>
  </sheetViews>
  <sheetFormatPr defaultRowHeight="12.75" x14ac:dyDescent="0.2"/>
  <cols>
    <col min="1" max="9" width="9.140625" style="354"/>
    <col min="10" max="10" width="28.28515625" style="354" customWidth="1"/>
    <col min="11" max="16384" width="9.140625" style="354"/>
  </cols>
  <sheetData>
    <row r="1" spans="1:10" ht="14.25" thickTop="1" thickBot="1" x14ac:dyDescent="0.25">
      <c r="A1" s="608" t="s">
        <v>454</v>
      </c>
      <c r="B1" s="609"/>
      <c r="C1" s="609"/>
      <c r="D1" s="609"/>
      <c r="E1" s="609"/>
      <c r="F1" s="609"/>
      <c r="G1" s="609"/>
      <c r="H1" s="609"/>
      <c r="I1" s="609"/>
      <c r="J1" s="610"/>
    </row>
    <row r="2" spans="1:10" ht="14.25" thickTop="1" thickBot="1" x14ac:dyDescent="0.25">
      <c r="A2" s="611" t="s">
        <v>455</v>
      </c>
      <c r="B2" s="612"/>
      <c r="C2" s="612"/>
      <c r="D2" s="612"/>
      <c r="E2" s="612"/>
      <c r="F2" s="612"/>
      <c r="G2" s="612"/>
      <c r="H2" s="612"/>
      <c r="I2" s="612"/>
      <c r="J2" s="613"/>
    </row>
    <row r="3" spans="1:10" ht="14.25" thickTop="1" thickBot="1" x14ac:dyDescent="0.25">
      <c r="A3" s="355"/>
      <c r="B3" s="356"/>
      <c r="C3" s="356"/>
      <c r="D3" s="356"/>
      <c r="E3" s="356"/>
      <c r="F3" s="356"/>
      <c r="G3" s="356"/>
      <c r="H3" s="356"/>
      <c r="I3" s="356"/>
      <c r="J3" s="357"/>
    </row>
    <row r="4" spans="1:10" ht="13.5" thickTop="1" x14ac:dyDescent="0.2">
      <c r="A4" s="614" t="s">
        <v>456</v>
      </c>
      <c r="B4" s="615"/>
      <c r="C4" s="615"/>
      <c r="D4" s="615"/>
      <c r="E4" s="615"/>
      <c r="F4" s="615"/>
      <c r="G4" s="615"/>
      <c r="H4" s="615"/>
      <c r="I4" s="615"/>
      <c r="J4" s="616"/>
    </row>
    <row r="5" spans="1:10" x14ac:dyDescent="0.2">
      <c r="A5" s="617"/>
      <c r="B5" s="618"/>
      <c r="C5" s="618"/>
      <c r="D5" s="618"/>
      <c r="E5" s="618"/>
      <c r="F5" s="618"/>
      <c r="G5" s="618"/>
      <c r="H5" s="618"/>
      <c r="I5" s="618"/>
      <c r="J5" s="619"/>
    </row>
    <row r="6" spans="1:10" x14ac:dyDescent="0.2">
      <c r="A6" s="617"/>
      <c r="B6" s="618"/>
      <c r="C6" s="618"/>
      <c r="D6" s="618"/>
      <c r="E6" s="618"/>
      <c r="F6" s="618"/>
      <c r="G6" s="618"/>
      <c r="H6" s="618"/>
      <c r="I6" s="618"/>
      <c r="J6" s="619"/>
    </row>
    <row r="7" spans="1:10" x14ac:dyDescent="0.2">
      <c r="A7" s="617"/>
      <c r="B7" s="618"/>
      <c r="C7" s="618"/>
      <c r="D7" s="618"/>
      <c r="E7" s="618"/>
      <c r="F7" s="618"/>
      <c r="G7" s="618"/>
      <c r="H7" s="618"/>
      <c r="I7" s="618"/>
      <c r="J7" s="619"/>
    </row>
    <row r="8" spans="1:10" x14ac:dyDescent="0.2">
      <c r="A8" s="617"/>
      <c r="B8" s="618"/>
      <c r="C8" s="618"/>
      <c r="D8" s="618"/>
      <c r="E8" s="618"/>
      <c r="F8" s="618"/>
      <c r="G8" s="618"/>
      <c r="H8" s="618"/>
      <c r="I8" s="618"/>
      <c r="J8" s="619"/>
    </row>
    <row r="9" spans="1:10" x14ac:dyDescent="0.2">
      <c r="A9" s="620"/>
      <c r="B9" s="621"/>
      <c r="C9" s="621"/>
      <c r="D9" s="621"/>
      <c r="E9" s="621"/>
      <c r="F9" s="621"/>
      <c r="G9" s="621"/>
      <c r="H9" s="621"/>
      <c r="I9" s="621"/>
      <c r="J9" s="622"/>
    </row>
    <row r="10" spans="1:10" x14ac:dyDescent="0.2">
      <c r="A10" s="620"/>
      <c r="B10" s="621"/>
      <c r="C10" s="621"/>
      <c r="D10" s="621"/>
      <c r="E10" s="621"/>
      <c r="F10" s="621"/>
      <c r="G10" s="621"/>
      <c r="H10" s="621"/>
      <c r="I10" s="621"/>
      <c r="J10" s="622"/>
    </row>
    <row r="11" spans="1:10" x14ac:dyDescent="0.2">
      <c r="A11" s="620"/>
      <c r="B11" s="621"/>
      <c r="C11" s="621"/>
      <c r="D11" s="621"/>
      <c r="E11" s="621"/>
      <c r="F11" s="621"/>
      <c r="G11" s="621"/>
      <c r="H11" s="621"/>
      <c r="I11" s="621"/>
      <c r="J11" s="622"/>
    </row>
    <row r="12" spans="1:10" ht="13.5" thickBot="1" x14ac:dyDescent="0.25">
      <c r="A12" s="358"/>
      <c r="B12" s="359"/>
      <c r="C12" s="359"/>
      <c r="D12" s="359"/>
      <c r="E12" s="359"/>
      <c r="F12" s="359"/>
      <c r="G12" s="359"/>
      <c r="H12" s="359"/>
      <c r="I12" s="359"/>
      <c r="J12" s="360"/>
    </row>
    <row r="13" spans="1:10" ht="13.5" thickTop="1" x14ac:dyDescent="0.2">
      <c r="A13" s="623" t="s">
        <v>457</v>
      </c>
      <c r="B13" s="624"/>
      <c r="C13" s="624"/>
      <c r="D13" s="624"/>
      <c r="E13" s="624"/>
      <c r="F13" s="624"/>
      <c r="G13" s="624"/>
      <c r="H13" s="624"/>
      <c r="I13" s="624"/>
      <c r="J13" s="624"/>
    </row>
    <row r="14" spans="1:10" x14ac:dyDescent="0.2">
      <c r="A14" s="625"/>
      <c r="B14" s="625"/>
      <c r="C14" s="625"/>
      <c r="D14" s="625"/>
      <c r="E14" s="625"/>
      <c r="F14" s="625"/>
      <c r="G14" s="625"/>
      <c r="H14" s="625"/>
      <c r="I14" s="625"/>
      <c r="J14" s="625"/>
    </row>
    <row r="15" spans="1:10" x14ac:dyDescent="0.2">
      <c r="A15" s="625"/>
      <c r="B15" s="625"/>
      <c r="C15" s="625"/>
      <c r="D15" s="625"/>
      <c r="E15" s="625"/>
      <c r="F15" s="625"/>
      <c r="G15" s="625"/>
      <c r="H15" s="625"/>
      <c r="I15" s="625"/>
      <c r="J15" s="625"/>
    </row>
    <row r="16" spans="1:10" x14ac:dyDescent="0.2">
      <c r="A16" s="625"/>
      <c r="B16" s="625"/>
      <c r="C16" s="625"/>
      <c r="D16" s="625"/>
      <c r="E16" s="625"/>
      <c r="F16" s="625"/>
      <c r="G16" s="625"/>
      <c r="H16" s="625"/>
      <c r="I16" s="625"/>
      <c r="J16" s="625"/>
    </row>
    <row r="17" spans="1:10" x14ac:dyDescent="0.2">
      <c r="A17" s="625"/>
      <c r="B17" s="625"/>
      <c r="C17" s="625"/>
      <c r="D17" s="625"/>
      <c r="E17" s="625"/>
      <c r="F17" s="625"/>
      <c r="G17" s="625"/>
      <c r="H17" s="625"/>
      <c r="I17" s="625"/>
      <c r="J17" s="625"/>
    </row>
    <row r="18" spans="1:10" x14ac:dyDescent="0.2">
      <c r="A18" s="625"/>
      <c r="B18" s="625"/>
      <c r="C18" s="625"/>
      <c r="D18" s="625"/>
      <c r="E18" s="625"/>
      <c r="F18" s="625"/>
      <c r="G18" s="625"/>
      <c r="H18" s="625"/>
      <c r="I18" s="625"/>
      <c r="J18" s="625"/>
    </row>
    <row r="19" spans="1:10" x14ac:dyDescent="0.2">
      <c r="A19" s="625"/>
      <c r="B19" s="625"/>
      <c r="C19" s="625"/>
      <c r="D19" s="625"/>
      <c r="E19" s="625"/>
      <c r="F19" s="625"/>
      <c r="G19" s="625"/>
      <c r="H19" s="625"/>
      <c r="I19" s="625"/>
      <c r="J19" s="625"/>
    </row>
    <row r="20" spans="1:10" x14ac:dyDescent="0.2">
      <c r="A20" s="625"/>
      <c r="B20" s="625"/>
      <c r="C20" s="625"/>
      <c r="D20" s="625"/>
      <c r="E20" s="625"/>
      <c r="F20" s="625"/>
      <c r="G20" s="625"/>
      <c r="H20" s="625"/>
      <c r="I20" s="625"/>
      <c r="J20" s="625"/>
    </row>
    <row r="21" spans="1:10" x14ac:dyDescent="0.2">
      <c r="A21" s="625"/>
      <c r="B21" s="625"/>
      <c r="C21" s="625"/>
      <c r="D21" s="625"/>
      <c r="E21" s="625"/>
      <c r="F21" s="625"/>
      <c r="G21" s="625"/>
      <c r="H21" s="625"/>
      <c r="I21" s="625"/>
      <c r="J21" s="625"/>
    </row>
    <row r="22" spans="1:10" ht="15" customHeight="1" x14ac:dyDescent="0.2">
      <c r="A22" s="625"/>
      <c r="B22" s="625"/>
      <c r="C22" s="625"/>
      <c r="D22" s="625"/>
      <c r="E22" s="625"/>
      <c r="F22" s="625"/>
      <c r="G22" s="625"/>
      <c r="H22" s="625"/>
      <c r="I22" s="625"/>
      <c r="J22" s="625"/>
    </row>
    <row r="23" spans="1:10" ht="12.75" hidden="1" customHeight="1" x14ac:dyDescent="0.2">
      <c r="A23" s="625"/>
      <c r="B23" s="625"/>
      <c r="C23" s="625"/>
      <c r="D23" s="625"/>
      <c r="E23" s="625"/>
      <c r="F23" s="625"/>
      <c r="G23" s="625"/>
      <c r="H23" s="625"/>
      <c r="I23" s="625"/>
      <c r="J23" s="625"/>
    </row>
    <row r="24" spans="1:10" x14ac:dyDescent="0.2">
      <c r="A24" s="626"/>
      <c r="B24" s="626"/>
      <c r="C24" s="626"/>
      <c r="D24" s="626"/>
      <c r="E24" s="626"/>
      <c r="F24" s="626"/>
      <c r="G24" s="626"/>
      <c r="H24" s="626"/>
      <c r="I24" s="626"/>
      <c r="J24" s="626"/>
    </row>
    <row r="25" spans="1:10" x14ac:dyDescent="0.2">
      <c r="A25" s="626"/>
      <c r="B25" s="626"/>
      <c r="C25" s="626"/>
      <c r="D25" s="626"/>
      <c r="E25" s="626"/>
      <c r="F25" s="626"/>
      <c r="G25" s="626"/>
      <c r="H25" s="626"/>
      <c r="I25" s="626"/>
      <c r="J25" s="626"/>
    </row>
    <row r="26" spans="1:10" x14ac:dyDescent="0.2">
      <c r="A26" s="626"/>
      <c r="B26" s="626"/>
      <c r="C26" s="626"/>
      <c r="D26" s="626"/>
      <c r="E26" s="626"/>
      <c r="F26" s="626"/>
      <c r="G26" s="626"/>
      <c r="H26" s="626"/>
      <c r="I26" s="626"/>
      <c r="J26" s="626"/>
    </row>
    <row r="27" spans="1:10" x14ac:dyDescent="0.2">
      <c r="A27" s="626"/>
      <c r="B27" s="626"/>
      <c r="C27" s="626"/>
      <c r="D27" s="626"/>
      <c r="E27" s="626"/>
      <c r="F27" s="626"/>
      <c r="G27" s="626"/>
      <c r="H27" s="626"/>
      <c r="I27" s="626"/>
      <c r="J27" s="626"/>
    </row>
    <row r="28" spans="1:10" x14ac:dyDescent="0.2">
      <c r="A28" s="626"/>
      <c r="B28" s="626"/>
      <c r="C28" s="626"/>
      <c r="D28" s="626"/>
      <c r="E28" s="626"/>
      <c r="F28" s="626"/>
      <c r="G28" s="626"/>
      <c r="H28" s="626"/>
      <c r="I28" s="626"/>
      <c r="J28" s="626"/>
    </row>
    <row r="29" spans="1:10" x14ac:dyDescent="0.2">
      <c r="A29" s="626"/>
      <c r="B29" s="626"/>
      <c r="C29" s="626"/>
      <c r="D29" s="626"/>
      <c r="E29" s="626"/>
      <c r="F29" s="626"/>
      <c r="G29" s="626"/>
      <c r="H29" s="626"/>
      <c r="I29" s="626"/>
      <c r="J29" s="626"/>
    </row>
    <row r="30" spans="1:10" x14ac:dyDescent="0.2">
      <c r="A30" s="626"/>
      <c r="B30" s="626"/>
      <c r="C30" s="626"/>
      <c r="D30" s="626"/>
      <c r="E30" s="626"/>
      <c r="F30" s="626"/>
      <c r="G30" s="626"/>
      <c r="H30" s="626"/>
      <c r="I30" s="626"/>
      <c r="J30" s="626"/>
    </row>
    <row r="31" spans="1:10" x14ac:dyDescent="0.2">
      <c r="A31" s="626"/>
      <c r="B31" s="626"/>
      <c r="C31" s="626"/>
      <c r="D31" s="626"/>
      <c r="E31" s="626"/>
      <c r="F31" s="626"/>
      <c r="G31" s="626"/>
      <c r="H31" s="626"/>
      <c r="I31" s="626"/>
      <c r="J31" s="626"/>
    </row>
  </sheetData>
  <mergeCells count="4">
    <mergeCell ref="A1:J1"/>
    <mergeCell ref="A2:J2"/>
    <mergeCell ref="A4:J11"/>
    <mergeCell ref="A13:J31"/>
  </mergeCells>
  <phoneticPr fontId="3"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C16" sqref="C16"/>
    </sheetView>
  </sheetViews>
  <sheetFormatPr defaultColWidth="11" defaultRowHeight="12.75" x14ac:dyDescent="0.2"/>
  <cols>
    <col min="1" max="1" width="13" customWidth="1"/>
    <col min="2" max="6" width="11" customWidth="1"/>
    <col min="7" max="7" width="14.28515625" customWidth="1"/>
  </cols>
  <sheetData>
    <row r="1" spans="1:7" x14ac:dyDescent="0.2">
      <c r="A1" s="312" t="s">
        <v>458</v>
      </c>
    </row>
    <row r="2" spans="1:7" x14ac:dyDescent="0.2">
      <c r="A2" t="s">
        <v>459</v>
      </c>
    </row>
    <row r="3" spans="1:7" x14ac:dyDescent="0.2">
      <c r="A3" t="s">
        <v>460</v>
      </c>
    </row>
    <row r="5" spans="1:7" x14ac:dyDescent="0.2">
      <c r="B5" t="s">
        <v>461</v>
      </c>
      <c r="C5" t="s">
        <v>462</v>
      </c>
      <c r="D5" t="s">
        <v>463</v>
      </c>
      <c r="E5" t="s">
        <v>464</v>
      </c>
      <c r="F5" t="s">
        <v>45</v>
      </c>
      <c r="G5" s="361" t="s">
        <v>465</v>
      </c>
    </row>
    <row r="6" spans="1:7" x14ac:dyDescent="0.2">
      <c r="A6" t="s">
        <v>466</v>
      </c>
      <c r="B6" s="292">
        <v>50</v>
      </c>
      <c r="C6" s="292">
        <v>20</v>
      </c>
      <c r="D6" s="292">
        <v>30</v>
      </c>
      <c r="E6" s="292">
        <v>40</v>
      </c>
      <c r="F6" s="292">
        <f>SUM(B6:E6)</f>
        <v>140</v>
      </c>
      <c r="G6" s="292">
        <v>10000</v>
      </c>
    </row>
    <row r="7" spans="1:7" x14ac:dyDescent="0.2">
      <c r="A7" t="s">
        <v>467</v>
      </c>
      <c r="B7" s="292">
        <v>40</v>
      </c>
      <c r="C7" s="292">
        <v>10</v>
      </c>
      <c r="D7" s="292">
        <v>15</v>
      </c>
      <c r="E7" s="292">
        <v>25</v>
      </c>
      <c r="F7" s="292">
        <f>SUM(B7:E7)</f>
        <v>90</v>
      </c>
      <c r="G7" s="292">
        <v>12000</v>
      </c>
    </row>
    <row r="8" spans="1:7" x14ac:dyDescent="0.2">
      <c r="A8" t="s">
        <v>468</v>
      </c>
      <c r="B8" s="292">
        <v>30</v>
      </c>
      <c r="C8" s="292">
        <v>20</v>
      </c>
      <c r="D8" s="292">
        <v>15</v>
      </c>
      <c r="E8" s="292">
        <v>25</v>
      </c>
      <c r="F8" s="292">
        <f>SUM(B8:E8)</f>
        <v>90</v>
      </c>
      <c r="G8" s="292">
        <v>15000</v>
      </c>
    </row>
    <row r="9" spans="1:7" x14ac:dyDescent="0.2">
      <c r="A9" t="s">
        <v>45</v>
      </c>
      <c r="B9" s="292">
        <f>SUM(B6:B8)</f>
        <v>120</v>
      </c>
      <c r="C9" s="292">
        <f>SUM(C6:C8)</f>
        <v>50</v>
      </c>
      <c r="D9" s="292">
        <f>SUM(D6:D8)</f>
        <v>60</v>
      </c>
      <c r="E9" s="292">
        <f>SUM(E6:E8)</f>
        <v>90</v>
      </c>
      <c r="F9" s="292">
        <f>SUM(F6:F8)</f>
        <v>320</v>
      </c>
    </row>
    <row r="10" spans="1:7" x14ac:dyDescent="0.2">
      <c r="A10" s="347" t="s">
        <v>469</v>
      </c>
    </row>
    <row r="11" spans="1:7" x14ac:dyDescent="0.2">
      <c r="B11" t="s">
        <v>461</v>
      </c>
      <c r="C11" t="s">
        <v>462</v>
      </c>
      <c r="D11" t="s">
        <v>463</v>
      </c>
      <c r="E11" t="s">
        <v>464</v>
      </c>
      <c r="F11" t="s">
        <v>45</v>
      </c>
    </row>
    <row r="12" spans="1:7" x14ac:dyDescent="0.2">
      <c r="A12" t="s">
        <v>466</v>
      </c>
      <c r="B12" s="320">
        <f>B6*$G$6</f>
        <v>500000</v>
      </c>
      <c r="C12" s="320">
        <f>C6*$G$6</f>
        <v>200000</v>
      </c>
      <c r="D12" s="320">
        <f>D6*$G$6</f>
        <v>300000</v>
      </c>
      <c r="E12" s="320">
        <f>E6*$G$6</f>
        <v>400000</v>
      </c>
      <c r="F12" s="292">
        <f>SUM(B12:E12)</f>
        <v>1400000</v>
      </c>
    </row>
    <row r="13" spans="1:7" x14ac:dyDescent="0.2">
      <c r="A13" t="s">
        <v>467</v>
      </c>
      <c r="B13" s="320">
        <f>B7*$G$7</f>
        <v>480000</v>
      </c>
      <c r="C13" s="320">
        <f>C7*$G$7</f>
        <v>120000</v>
      </c>
      <c r="D13" s="320">
        <f>D7*$G$7</f>
        <v>180000</v>
      </c>
      <c r="E13" s="320">
        <f>E7*$G$7</f>
        <v>300000</v>
      </c>
      <c r="F13" s="292">
        <f>SUM(B13:E13)</f>
        <v>1080000</v>
      </c>
    </row>
    <row r="14" spans="1:7" x14ac:dyDescent="0.2">
      <c r="A14" t="s">
        <v>468</v>
      </c>
      <c r="B14" s="320">
        <f>B8*$G$8</f>
        <v>450000</v>
      </c>
      <c r="C14" s="320">
        <f>C8*$G$8</f>
        <v>300000</v>
      </c>
      <c r="D14" s="320">
        <f>D8*$G$8</f>
        <v>225000</v>
      </c>
      <c r="E14" s="320">
        <f>E8*$G$8</f>
        <v>375000</v>
      </c>
      <c r="F14" s="292">
        <f>SUM(B14:E14)</f>
        <v>1350000</v>
      </c>
    </row>
    <row r="15" spans="1:7" x14ac:dyDescent="0.2">
      <c r="A15" t="s">
        <v>45</v>
      </c>
      <c r="B15" s="320">
        <f>SUM(B12:B14)</f>
        <v>1430000</v>
      </c>
      <c r="C15" s="320">
        <f>SUM(C12:C14)</f>
        <v>620000</v>
      </c>
      <c r="D15" s="320">
        <f>SUM(D12:D14)</f>
        <v>705000</v>
      </c>
      <c r="E15" s="320">
        <f>SUM(E12:E14)</f>
        <v>1075000</v>
      </c>
      <c r="F15" s="362">
        <f>SUM(F12:F14)</f>
        <v>3830000</v>
      </c>
    </row>
  </sheetData>
  <phoneticPr fontId="3"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24" sqref="C24"/>
    </sheetView>
  </sheetViews>
  <sheetFormatPr defaultRowHeight="11.25" x14ac:dyDescent="0.2"/>
  <cols>
    <col min="1" max="1" width="11.42578125" style="1" customWidth="1"/>
    <col min="2" max="2" width="12" style="1" customWidth="1"/>
    <col min="3" max="3" width="15.5703125" style="1" customWidth="1"/>
    <col min="4" max="4" width="15" style="1" customWidth="1"/>
    <col min="5" max="16384" width="9.140625" style="1"/>
  </cols>
  <sheetData>
    <row r="1" spans="1:7" x14ac:dyDescent="0.2">
      <c r="A1" s="363" t="s">
        <v>470</v>
      </c>
      <c r="G1" s="363" t="s">
        <v>471</v>
      </c>
    </row>
    <row r="2" spans="1:7" x14ac:dyDescent="0.2">
      <c r="A2" s="364" t="s">
        <v>472</v>
      </c>
      <c r="G2" s="1" t="s">
        <v>473</v>
      </c>
    </row>
    <row r="3" spans="1:7" x14ac:dyDescent="0.2">
      <c r="A3" s="365" t="s">
        <v>474</v>
      </c>
      <c r="B3" s="365" t="s">
        <v>475</v>
      </c>
      <c r="C3" s="366" t="s">
        <v>476</v>
      </c>
      <c r="G3" s="1" t="s">
        <v>477</v>
      </c>
    </row>
    <row r="4" spans="1:7" x14ac:dyDescent="0.2">
      <c r="A4" s="367" t="s">
        <v>478</v>
      </c>
      <c r="B4" s="156">
        <v>20000</v>
      </c>
      <c r="C4" s="156">
        <v>5000</v>
      </c>
      <c r="G4" s="1" t="s">
        <v>479</v>
      </c>
    </row>
    <row r="5" spans="1:7" x14ac:dyDescent="0.2">
      <c r="A5" s="364" t="s">
        <v>480</v>
      </c>
      <c r="D5" s="364" t="s">
        <v>481</v>
      </c>
      <c r="G5" s="1" t="s">
        <v>482</v>
      </c>
    </row>
    <row r="6" spans="1:7" x14ac:dyDescent="0.2">
      <c r="A6" s="368" t="s">
        <v>474</v>
      </c>
      <c r="B6" s="368" t="s">
        <v>475</v>
      </c>
      <c r="D6" s="368" t="s">
        <v>474</v>
      </c>
      <c r="E6" s="369" t="s">
        <v>475</v>
      </c>
      <c r="G6" s="1" t="s">
        <v>483</v>
      </c>
    </row>
    <row r="7" spans="1:7" x14ac:dyDescent="0.2">
      <c r="A7" s="156" t="s">
        <v>478</v>
      </c>
      <c r="B7" s="156">
        <v>8000</v>
      </c>
      <c r="D7" s="156" t="s">
        <v>478</v>
      </c>
      <c r="E7" s="156">
        <v>10000</v>
      </c>
      <c r="G7" s="1" t="s">
        <v>484</v>
      </c>
    </row>
    <row r="8" spans="1:7" x14ac:dyDescent="0.2">
      <c r="A8" s="364" t="s">
        <v>485</v>
      </c>
      <c r="D8" s="364" t="s">
        <v>486</v>
      </c>
      <c r="G8" s="1" t="s">
        <v>487</v>
      </c>
    </row>
    <row r="9" spans="1:7" x14ac:dyDescent="0.2">
      <c r="A9" s="368" t="s">
        <v>488</v>
      </c>
      <c r="B9" s="368" t="s">
        <v>489</v>
      </c>
      <c r="C9" s="368" t="s">
        <v>163</v>
      </c>
      <c r="D9" s="365" t="s">
        <v>478</v>
      </c>
      <c r="E9" s="367"/>
      <c r="G9" s="1" t="s">
        <v>490</v>
      </c>
    </row>
    <row r="10" spans="1:7" x14ac:dyDescent="0.2">
      <c r="A10" s="156" t="s">
        <v>491</v>
      </c>
      <c r="B10" s="156" t="s">
        <v>492</v>
      </c>
      <c r="C10" s="156">
        <v>30</v>
      </c>
      <c r="D10" s="156">
        <v>3</v>
      </c>
    </row>
    <row r="11" spans="1:7" x14ac:dyDescent="0.2">
      <c r="A11" s="156" t="s">
        <v>493</v>
      </c>
      <c r="B11" s="156" t="s">
        <v>492</v>
      </c>
      <c r="C11" s="156">
        <v>20</v>
      </c>
      <c r="D11" s="156">
        <v>2</v>
      </c>
    </row>
    <row r="12" spans="1:7" x14ac:dyDescent="0.2">
      <c r="A12" s="156" t="s">
        <v>494</v>
      </c>
      <c r="B12" s="156" t="s">
        <v>495</v>
      </c>
      <c r="C12" s="156">
        <v>50</v>
      </c>
      <c r="D12" s="156">
        <v>5</v>
      </c>
    </row>
    <row r="13" spans="1:7" x14ac:dyDescent="0.2">
      <c r="A13" s="364" t="s">
        <v>496</v>
      </c>
      <c r="D13" s="364" t="s">
        <v>497</v>
      </c>
    </row>
    <row r="14" spans="1:7" x14ac:dyDescent="0.2">
      <c r="A14" s="368" t="s">
        <v>488</v>
      </c>
      <c r="B14" s="368" t="s">
        <v>475</v>
      </c>
      <c r="D14" s="368" t="s">
        <v>488</v>
      </c>
      <c r="E14" s="368" t="s">
        <v>475</v>
      </c>
    </row>
    <row r="15" spans="1:7" x14ac:dyDescent="0.2">
      <c r="A15" s="156" t="s">
        <v>491</v>
      </c>
      <c r="B15" s="156">
        <v>21000</v>
      </c>
      <c r="D15" s="156" t="s">
        <v>491</v>
      </c>
      <c r="E15" s="156">
        <v>25000</v>
      </c>
    </row>
    <row r="16" spans="1:7" x14ac:dyDescent="0.2">
      <c r="A16" s="156" t="s">
        <v>493</v>
      </c>
      <c r="B16" s="156">
        <v>17000</v>
      </c>
      <c r="D16" s="156" t="s">
        <v>493</v>
      </c>
      <c r="E16" s="156">
        <v>23000</v>
      </c>
    </row>
    <row r="17" spans="1:5" x14ac:dyDescent="0.2">
      <c r="A17" s="156" t="s">
        <v>494</v>
      </c>
      <c r="B17" s="156">
        <v>25000</v>
      </c>
      <c r="D17" s="156" t="s">
        <v>494</v>
      </c>
      <c r="E17" s="156">
        <v>30000</v>
      </c>
    </row>
    <row r="18" spans="1:5" x14ac:dyDescent="0.2">
      <c r="A18" s="364" t="s">
        <v>498</v>
      </c>
    </row>
    <row r="19" spans="1:5" x14ac:dyDescent="0.2">
      <c r="A19" s="368" t="s">
        <v>474</v>
      </c>
      <c r="B19" s="368" t="s">
        <v>499</v>
      </c>
      <c r="C19" s="368" t="s">
        <v>500</v>
      </c>
    </row>
    <row r="20" spans="1:5" x14ac:dyDescent="0.2">
      <c r="A20" s="156" t="s">
        <v>478</v>
      </c>
      <c r="B20" s="156">
        <v>4</v>
      </c>
      <c r="C20" s="156">
        <v>800</v>
      </c>
    </row>
    <row r="21" spans="1:5" x14ac:dyDescent="0.2">
      <c r="A21" s="364" t="s">
        <v>501</v>
      </c>
      <c r="E21" s="370">
        <v>20</v>
      </c>
    </row>
  </sheetData>
  <phoneticPr fontId="3"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opLeftCell="A22" workbookViewId="0">
      <selection activeCell="A44" sqref="A44"/>
    </sheetView>
  </sheetViews>
  <sheetFormatPr defaultRowHeight="11.25" x14ac:dyDescent="0.2"/>
  <cols>
    <col min="1" max="1" width="15.140625" style="1" customWidth="1"/>
    <col min="2" max="2" width="13.7109375" style="1" customWidth="1"/>
    <col min="3" max="3" width="14.85546875" style="1" customWidth="1"/>
    <col min="4" max="4" width="12" style="1" customWidth="1"/>
    <col min="5" max="5" width="14" style="1" customWidth="1"/>
    <col min="6" max="16384" width="9.140625" style="1"/>
  </cols>
  <sheetData>
    <row r="1" spans="1:4" x14ac:dyDescent="0.2">
      <c r="A1" s="363" t="str">
        <f>BUDGET2!G2</f>
        <v>1.Προυπολογισμός πωλήσεων (δρχ.)</v>
      </c>
    </row>
    <row r="2" spans="1:4" x14ac:dyDescent="0.2">
      <c r="A2" s="1" t="str">
        <f>BUDGET2!A2</f>
        <v>1. ΠΡΟΒΛΕΠΟΜΕΝΕΣ ΠΩΛΗΣΕΙΣ 1999</v>
      </c>
    </row>
    <row r="3" spans="1:4" x14ac:dyDescent="0.2">
      <c r="A3" s="368" t="str">
        <f>BUDGET2!A3</f>
        <v>ΠΡΟΙΟΝ</v>
      </c>
      <c r="B3" s="368" t="str">
        <f>BUDGET2!B3</f>
        <v>ΜΟΝΑΔΕΣ</v>
      </c>
      <c r="C3" s="368" t="str">
        <f>BUDGET2!C3</f>
        <v>ΤΙΜΗ ΜΟΝΑΔΑΣ</v>
      </c>
      <c r="D3" s="368" t="s">
        <v>45</v>
      </c>
    </row>
    <row r="4" spans="1:4" x14ac:dyDescent="0.2">
      <c r="A4" s="156" t="str">
        <f>BUDGET2!A4</f>
        <v>Α</v>
      </c>
      <c r="B4" s="156">
        <f>BUDGET2!B4</f>
        <v>20000</v>
      </c>
      <c r="C4" s="156">
        <f>BUDGET2!C4</f>
        <v>5000</v>
      </c>
      <c r="D4" s="371">
        <f>C4*B4</f>
        <v>100000000</v>
      </c>
    </row>
    <row r="6" spans="1:4" x14ac:dyDescent="0.2">
      <c r="A6" s="363" t="str">
        <f>BUDGET2!G3</f>
        <v>2.Προυπολογισμός παραγωγής (ποσότητες)</v>
      </c>
    </row>
    <row r="7" spans="1:4" x14ac:dyDescent="0.2">
      <c r="A7" s="1" t="s">
        <v>502</v>
      </c>
      <c r="D7" s="156">
        <f>BUDGET2!E7</f>
        <v>10000</v>
      </c>
    </row>
    <row r="8" spans="1:4" x14ac:dyDescent="0.2">
      <c r="A8" s="1" t="s">
        <v>503</v>
      </c>
      <c r="D8" s="156">
        <f>B4</f>
        <v>20000</v>
      </c>
    </row>
    <row r="9" spans="1:4" x14ac:dyDescent="0.2">
      <c r="A9" s="1" t="s">
        <v>504</v>
      </c>
      <c r="D9" s="156">
        <f>BUDGET2!B7</f>
        <v>8000</v>
      </c>
    </row>
    <row r="10" spans="1:4" x14ac:dyDescent="0.2">
      <c r="A10" s="1" t="s">
        <v>505</v>
      </c>
      <c r="D10" s="365">
        <f>D7+D8-D9</f>
        <v>22000</v>
      </c>
    </row>
    <row r="12" spans="1:4" x14ac:dyDescent="0.2">
      <c r="A12" s="363" t="str">
        <f>BUDGET2!G4</f>
        <v>3.Προυπολογισμός αγοράς υλικών (ποσότητες)</v>
      </c>
    </row>
    <row r="13" spans="1:4" x14ac:dyDescent="0.2">
      <c r="A13" s="369" t="str">
        <f>A7</f>
        <v>ΕΠΙΘΥΜΗΤΑ ΑΠΟΘΕΜΑΤΑ 31/12/99</v>
      </c>
      <c r="D13" s="368" t="s">
        <v>506</v>
      </c>
    </row>
    <row r="14" spans="1:4" x14ac:dyDescent="0.2">
      <c r="A14" s="156" t="str">
        <f>BUDGET2!A10</f>
        <v>Α11</v>
      </c>
      <c r="B14" s="156">
        <f>BUDGET2!E15</f>
        <v>25000</v>
      </c>
      <c r="D14" s="156">
        <f>BUDGET2!D10</f>
        <v>3</v>
      </c>
    </row>
    <row r="15" spans="1:4" x14ac:dyDescent="0.2">
      <c r="A15" s="156" t="str">
        <f>BUDGET2!A11</f>
        <v>Β11</v>
      </c>
      <c r="B15" s="156">
        <f>BUDGET2!E16</f>
        <v>23000</v>
      </c>
      <c r="D15" s="156">
        <f>BUDGET2!D11</f>
        <v>2</v>
      </c>
    </row>
    <row r="16" spans="1:4" x14ac:dyDescent="0.2">
      <c r="A16" s="156" t="str">
        <f>BUDGET2!A12</f>
        <v>Ε11</v>
      </c>
      <c r="B16" s="156">
        <f>BUDGET2!E17</f>
        <v>30000</v>
      </c>
      <c r="D16" s="156">
        <f>BUDGET2!D12</f>
        <v>5</v>
      </c>
    </row>
    <row r="17" spans="1:4" x14ac:dyDescent="0.2">
      <c r="A17" s="369" t="str">
        <f>A9</f>
        <v>ΠΡΟΒΛΕΠΟΜΕΝΑ ΑΠΟΘΕΜΑΤΑ 1/1/99</v>
      </c>
      <c r="D17" s="365" t="s">
        <v>507</v>
      </c>
    </row>
    <row r="18" spans="1:4" x14ac:dyDescent="0.2">
      <c r="A18" s="156" t="str">
        <f>A14</f>
        <v>Α11</v>
      </c>
      <c r="B18" s="156">
        <f>BUDGET2!B15</f>
        <v>21000</v>
      </c>
      <c r="D18" s="367">
        <f>B14+(D14*$D$10)-B18</f>
        <v>70000</v>
      </c>
    </row>
    <row r="19" spans="1:4" x14ac:dyDescent="0.2">
      <c r="A19" s="156" t="str">
        <f>A15</f>
        <v>Β11</v>
      </c>
      <c r="B19" s="156">
        <f>BUDGET2!B16</f>
        <v>17000</v>
      </c>
      <c r="D19" s="367">
        <f>B15+(D15*$D$10)-B19</f>
        <v>50000</v>
      </c>
    </row>
    <row r="20" spans="1:4" x14ac:dyDescent="0.2">
      <c r="A20" s="156" t="str">
        <f>A16</f>
        <v>Ε11</v>
      </c>
      <c r="B20" s="156">
        <f>BUDGET2!B17</f>
        <v>25000</v>
      </c>
      <c r="D20" s="367">
        <f>B16+(D16*$D$10)-B20</f>
        <v>115000</v>
      </c>
    </row>
    <row r="22" spans="1:4" x14ac:dyDescent="0.2">
      <c r="A22" s="363" t="str">
        <f>BUDGET2!G5</f>
        <v>4.Προυπολογισμός αγοράς υλικών (δρχ.)</v>
      </c>
    </row>
    <row r="23" spans="1:4" x14ac:dyDescent="0.2">
      <c r="A23" s="368" t="str">
        <f>BUDGET2!A14</f>
        <v>ΑΡ.ΥΛΙΚΟΥ</v>
      </c>
      <c r="B23" s="368" t="str">
        <f>BUDGET2!C9</f>
        <v>ΤΙΜΗ ΑΓΟΡΑΣ</v>
      </c>
      <c r="C23" s="368" t="str">
        <f>D17</f>
        <v>ΑΓΟΡΕΣ</v>
      </c>
      <c r="D23" s="365" t="s">
        <v>45</v>
      </c>
    </row>
    <row r="24" spans="1:4" x14ac:dyDescent="0.2">
      <c r="A24" s="156" t="str">
        <f>A18</f>
        <v>Α11</v>
      </c>
      <c r="B24" s="156">
        <f>BUDGET2!C10</f>
        <v>30</v>
      </c>
      <c r="C24" s="156">
        <f>D18</f>
        <v>70000</v>
      </c>
      <c r="D24" s="367">
        <f>C24*B24</f>
        <v>2100000</v>
      </c>
    </row>
    <row r="25" spans="1:4" x14ac:dyDescent="0.2">
      <c r="A25" s="156" t="str">
        <f>A19</f>
        <v>Β11</v>
      </c>
      <c r="B25" s="156">
        <f>BUDGET2!C11</f>
        <v>20</v>
      </c>
      <c r="C25" s="156">
        <f>D19</f>
        <v>50000</v>
      </c>
      <c r="D25" s="367">
        <f>C25*B25</f>
        <v>1000000</v>
      </c>
    </row>
    <row r="26" spans="1:4" x14ac:dyDescent="0.2">
      <c r="A26" s="156" t="str">
        <f>A20</f>
        <v>Ε11</v>
      </c>
      <c r="B26" s="156">
        <f>BUDGET2!C12</f>
        <v>50</v>
      </c>
      <c r="C26" s="156">
        <f>D20</f>
        <v>115000</v>
      </c>
      <c r="D26" s="367">
        <f>C26*B26</f>
        <v>5750000</v>
      </c>
    </row>
    <row r="27" spans="1:4" x14ac:dyDescent="0.2">
      <c r="D27" s="372">
        <f>SUM(D24:D26)</f>
        <v>8850000</v>
      </c>
    </row>
    <row r="29" spans="1:4" x14ac:dyDescent="0.2">
      <c r="A29" s="363" t="str">
        <f>BUDGET2!G6</f>
        <v>5.Προυπολογισμός άμεσου εργατικού κόστους (δρχ.)</v>
      </c>
    </row>
    <row r="30" spans="1:4" x14ac:dyDescent="0.2">
      <c r="A30" s="156" t="str">
        <f>BUDGET2!B19</f>
        <v>ΩΡΕΣ/ΜΟΝΑΔΑ</v>
      </c>
      <c r="B30" s="156" t="str">
        <f>BUDGET2!C19</f>
        <v>ΑΜΟΙΒΗ/ΩΡΑ</v>
      </c>
      <c r="C30" s="156" t="str">
        <f>A10</f>
        <v>ΠΑΡΑΓΩΓΗ</v>
      </c>
      <c r="D30" s="365" t="str">
        <f>D23</f>
        <v>ΣΥΝΟΛΟ</v>
      </c>
    </row>
    <row r="31" spans="1:4" x14ac:dyDescent="0.2">
      <c r="A31" s="156">
        <f>BUDGET2!B20</f>
        <v>4</v>
      </c>
      <c r="B31" s="156">
        <f>BUDGET2!C20</f>
        <v>800</v>
      </c>
      <c r="C31" s="156">
        <f>D10</f>
        <v>22000</v>
      </c>
      <c r="D31" s="365">
        <f>C31*B31*A31</f>
        <v>70400000</v>
      </c>
    </row>
    <row r="33" spans="1:5" x14ac:dyDescent="0.2">
      <c r="A33" s="363" t="str">
        <f>BUDGET2!G7</f>
        <v>6.Προυπολογισμός Γενικών Βιομηχανικών Εξόδων(ΓΒΕ)</v>
      </c>
    </row>
    <row r="34" spans="1:5" x14ac:dyDescent="0.2">
      <c r="A34" s="1" t="str">
        <f>BUDGET2!A21</f>
        <v>9. ΓΕΝΙΚΑ ΒΙΟΜΗΧΑΝΙΚΑ ΕΞΟΔΑ (ανα ώρα αμέσου εργασίας) =</v>
      </c>
      <c r="D34" s="1">
        <f>BUDGET2!E21</f>
        <v>20</v>
      </c>
    </row>
    <row r="35" spans="1:5" x14ac:dyDescent="0.2">
      <c r="A35" s="1" t="s">
        <v>508</v>
      </c>
      <c r="D35" s="1">
        <f>C31*A31</f>
        <v>88000</v>
      </c>
    </row>
    <row r="36" spans="1:5" x14ac:dyDescent="0.2">
      <c r="A36" s="364" t="str">
        <f>D23</f>
        <v>ΣΥΝΟΛΟ</v>
      </c>
      <c r="D36" s="364">
        <f>D34*D35</f>
        <v>1760000</v>
      </c>
      <c r="E36" s="364"/>
    </row>
    <row r="38" spans="1:5" x14ac:dyDescent="0.2">
      <c r="A38" s="363" t="str">
        <f>BUDGET2!G8</f>
        <v>7.Προυπολογισμός Κόστους ανα Μονάδα</v>
      </c>
    </row>
    <row r="39" spans="1:5" x14ac:dyDescent="0.2">
      <c r="A39" s="364" t="s">
        <v>509</v>
      </c>
    </row>
    <row r="40" spans="1:5" x14ac:dyDescent="0.2">
      <c r="A40" s="368" t="str">
        <f>A23</f>
        <v>ΑΡ.ΥΛΙΚΟΥ</v>
      </c>
      <c r="B40" s="368" t="str">
        <f>D13</f>
        <v>ΦΟΡΜΟΥΛΑ</v>
      </c>
      <c r="C40" s="368" t="str">
        <f>B23</f>
        <v>ΤΙΜΗ ΑΓΟΡΑΣ</v>
      </c>
      <c r="D40" s="368" t="s">
        <v>45</v>
      </c>
    </row>
    <row r="41" spans="1:5" x14ac:dyDescent="0.2">
      <c r="A41" s="156" t="str">
        <f>A24</f>
        <v>Α11</v>
      </c>
      <c r="B41" s="156">
        <f>D14</f>
        <v>3</v>
      </c>
      <c r="C41" s="156">
        <f>B24</f>
        <v>30</v>
      </c>
      <c r="D41" s="156">
        <f>C41*B41</f>
        <v>90</v>
      </c>
    </row>
    <row r="42" spans="1:5" x14ac:dyDescent="0.2">
      <c r="A42" s="156" t="str">
        <f>A25</f>
        <v>Β11</v>
      </c>
      <c r="B42" s="156">
        <f>D15</f>
        <v>2</v>
      </c>
      <c r="C42" s="156">
        <f>B25</f>
        <v>20</v>
      </c>
      <c r="D42" s="156">
        <f>C42*B42</f>
        <v>40</v>
      </c>
    </row>
    <row r="43" spans="1:5" x14ac:dyDescent="0.2">
      <c r="A43" s="156" t="str">
        <f>A26</f>
        <v>Ε11</v>
      </c>
      <c r="B43" s="156">
        <f>D16</f>
        <v>5</v>
      </c>
      <c r="C43" s="156">
        <f>B26</f>
        <v>50</v>
      </c>
      <c r="D43" s="156">
        <f>C43*B43</f>
        <v>250</v>
      </c>
    </row>
    <row r="44" spans="1:5" x14ac:dyDescent="0.2">
      <c r="A44" s="364" t="s">
        <v>510</v>
      </c>
      <c r="D44" s="367">
        <f>SUM(D41:D43)</f>
        <v>380</v>
      </c>
    </row>
    <row r="45" spans="1:5" x14ac:dyDescent="0.2">
      <c r="A45" s="368" t="str">
        <f>A30</f>
        <v>ΩΡΕΣ/ΜΟΝΑΔΑ</v>
      </c>
      <c r="B45" s="368" t="str">
        <f>B30</f>
        <v>ΑΜΟΙΒΗ/ΩΡΑ</v>
      </c>
      <c r="C45" s="368"/>
      <c r="D45" s="368" t="str">
        <f>D40</f>
        <v>ΣΥΝΟΛΟ</v>
      </c>
    </row>
    <row r="46" spans="1:5" x14ac:dyDescent="0.2">
      <c r="A46" s="156">
        <f>A31</f>
        <v>4</v>
      </c>
      <c r="B46" s="156">
        <f>B31</f>
        <v>800</v>
      </c>
      <c r="C46" s="156"/>
      <c r="D46" s="367">
        <f>B46*A46</f>
        <v>3200</v>
      </c>
    </row>
    <row r="47" spans="1:5" x14ac:dyDescent="0.2">
      <c r="A47" s="364" t="s">
        <v>511</v>
      </c>
    </row>
    <row r="48" spans="1:5" x14ac:dyDescent="0.2">
      <c r="A48" s="368" t="str">
        <f>A45</f>
        <v>ΩΡΕΣ/ΜΟΝΑΔΑ</v>
      </c>
      <c r="B48" s="368" t="s">
        <v>512</v>
      </c>
      <c r="C48" s="368"/>
      <c r="D48" s="368" t="str">
        <f>D45</f>
        <v>ΣΥΝΟΛΟ</v>
      </c>
    </row>
    <row r="49" spans="1:4" x14ac:dyDescent="0.2">
      <c r="A49" s="156">
        <f>A46</f>
        <v>4</v>
      </c>
      <c r="B49" s="156">
        <f>D34</f>
        <v>20</v>
      </c>
      <c r="C49" s="156"/>
      <c r="D49" s="367">
        <f>B49*A49</f>
        <v>80</v>
      </c>
    </row>
    <row r="50" spans="1:4" x14ac:dyDescent="0.2">
      <c r="A50" s="364" t="s">
        <v>513</v>
      </c>
      <c r="D50" s="365">
        <f>D49+D46+D44</f>
        <v>3660</v>
      </c>
    </row>
    <row r="52" spans="1:4" x14ac:dyDescent="0.2">
      <c r="A52" s="363" t="str">
        <f>BUDGET2!G9</f>
        <v>8.Προυπολογισμός Αποτελεσμάτων.</v>
      </c>
    </row>
    <row r="53" spans="1:4" x14ac:dyDescent="0.2">
      <c r="A53" s="1" t="s">
        <v>195</v>
      </c>
      <c r="C53" s="156">
        <f>D4</f>
        <v>100000000</v>
      </c>
    </row>
    <row r="54" spans="1:4" x14ac:dyDescent="0.2">
      <c r="A54" s="1" t="s">
        <v>514</v>
      </c>
      <c r="C54" s="156">
        <f>D50*B4</f>
        <v>73200000</v>
      </c>
    </row>
    <row r="55" spans="1:4" x14ac:dyDescent="0.2">
      <c r="A55" s="1" t="s">
        <v>268</v>
      </c>
      <c r="C55" s="373">
        <f>C53-C54</f>
        <v>26800000</v>
      </c>
    </row>
  </sheetData>
  <phoneticPr fontId="3"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K13" sqref="K13"/>
    </sheetView>
  </sheetViews>
  <sheetFormatPr defaultRowHeight="12.75" x14ac:dyDescent="0.2"/>
  <cols>
    <col min="1" max="1" width="11.42578125" customWidth="1"/>
  </cols>
  <sheetData>
    <row r="1" spans="1:9" x14ac:dyDescent="0.2">
      <c r="A1" s="187" t="s">
        <v>515</v>
      </c>
    </row>
    <row r="3" spans="1:9" x14ac:dyDescent="0.2">
      <c r="A3" s="187" t="s">
        <v>332</v>
      </c>
    </row>
    <row r="4" spans="1:9" ht="15.95" customHeight="1" x14ac:dyDescent="0.2">
      <c r="A4" s="629" t="s">
        <v>516</v>
      </c>
      <c r="B4" s="629"/>
      <c r="C4" s="629"/>
      <c r="D4" s="629"/>
      <c r="E4" s="629"/>
      <c r="F4" s="629"/>
      <c r="G4" s="629"/>
      <c r="H4" s="629"/>
      <c r="I4" s="629"/>
    </row>
    <row r="5" spans="1:9" ht="20.100000000000001" customHeight="1" x14ac:dyDescent="0.2">
      <c r="A5" s="630" t="s">
        <v>517</v>
      </c>
      <c r="B5" s="629"/>
      <c r="C5" s="629"/>
      <c r="D5" s="629"/>
      <c r="E5" s="629"/>
      <c r="F5" s="629"/>
      <c r="G5" s="629"/>
      <c r="H5" s="629"/>
      <c r="I5" s="629"/>
    </row>
    <row r="6" spans="1:9" ht="30" customHeight="1" x14ac:dyDescent="0.2">
      <c r="A6" s="631" t="s">
        <v>518</v>
      </c>
      <c r="B6" s="556"/>
      <c r="C6" s="556"/>
      <c r="D6" s="556"/>
      <c r="E6" s="556"/>
      <c r="F6" s="556"/>
      <c r="G6" s="556"/>
      <c r="H6" s="556"/>
      <c r="I6" s="556"/>
    </row>
    <row r="7" spans="1:9" ht="60" customHeight="1" x14ac:dyDescent="0.2">
      <c r="A7" s="556" t="s">
        <v>519</v>
      </c>
      <c r="B7" s="556"/>
      <c r="C7" s="556"/>
      <c r="D7" s="556"/>
      <c r="E7" s="556"/>
      <c r="F7" s="556"/>
      <c r="G7" s="556"/>
      <c r="H7" s="556"/>
      <c r="I7" s="556"/>
    </row>
    <row r="8" spans="1:9" ht="15.95" customHeight="1" x14ac:dyDescent="0.2">
      <c r="A8" s="627" t="s">
        <v>520</v>
      </c>
      <c r="B8" s="628"/>
      <c r="C8" s="628"/>
      <c r="D8" s="628"/>
      <c r="E8" s="628"/>
      <c r="F8" s="628"/>
      <c r="G8" s="628"/>
      <c r="H8" s="628"/>
      <c r="I8" s="628"/>
    </row>
    <row r="10" spans="1:9" x14ac:dyDescent="0.2">
      <c r="A10" t="s">
        <v>521</v>
      </c>
      <c r="C10" s="374" t="s">
        <v>478</v>
      </c>
      <c r="D10" s="374" t="s">
        <v>522</v>
      </c>
      <c r="E10" s="374" t="s">
        <v>523</v>
      </c>
      <c r="F10" s="374" t="s">
        <v>524</v>
      </c>
      <c r="G10" s="374" t="s">
        <v>525</v>
      </c>
      <c r="H10" s="296" t="s">
        <v>45</v>
      </c>
    </row>
    <row r="11" spans="1:9" x14ac:dyDescent="0.2">
      <c r="A11" t="s">
        <v>526</v>
      </c>
      <c r="C11" s="292">
        <v>30</v>
      </c>
      <c r="D11" s="292">
        <v>40</v>
      </c>
      <c r="E11" s="292">
        <v>50</v>
      </c>
      <c r="F11" s="292">
        <v>80</v>
      </c>
      <c r="G11" s="292">
        <v>100</v>
      </c>
      <c r="H11" s="292">
        <f t="shared" ref="H11:H16" si="0">SUM(C11:G11)</f>
        <v>300</v>
      </c>
    </row>
    <row r="12" spans="1:9" x14ac:dyDescent="0.2">
      <c r="A12" t="s">
        <v>527</v>
      </c>
      <c r="C12" s="292">
        <v>2</v>
      </c>
      <c r="D12" s="292">
        <v>3</v>
      </c>
      <c r="E12" s="292">
        <v>4</v>
      </c>
      <c r="F12" s="292">
        <v>4</v>
      </c>
      <c r="G12" s="292">
        <v>5</v>
      </c>
      <c r="H12" s="292">
        <f t="shared" si="0"/>
        <v>18</v>
      </c>
    </row>
    <row r="13" spans="1:9" x14ac:dyDescent="0.2">
      <c r="A13" t="s">
        <v>528</v>
      </c>
      <c r="B13" s="379">
        <v>100000</v>
      </c>
      <c r="C13" s="375">
        <f>(C11/$H$11)*$B$13</f>
        <v>10000</v>
      </c>
      <c r="D13" s="375">
        <f>(D11/$H$11)*$B$13</f>
        <v>13333.333333333334</v>
      </c>
      <c r="E13" s="375">
        <f>(E11/$H$11)*$B$13</f>
        <v>16666.666666666664</v>
      </c>
      <c r="F13" s="375">
        <f>(F11/$H$11)*$B$13</f>
        <v>26666.666666666668</v>
      </c>
      <c r="G13" s="375">
        <f>(G11/$H$11)*$B$13</f>
        <v>33333.333333333328</v>
      </c>
      <c r="H13" s="378">
        <f t="shared" si="0"/>
        <v>100000</v>
      </c>
    </row>
    <row r="14" spans="1:9" x14ac:dyDescent="0.2">
      <c r="A14" t="s">
        <v>529</v>
      </c>
      <c r="B14" s="381">
        <v>50000</v>
      </c>
      <c r="C14" s="375">
        <f>(C12/$H$12)*$B$14</f>
        <v>5555.5555555555557</v>
      </c>
      <c r="D14" s="375">
        <f>(D12/$H$12)*$B$14</f>
        <v>8333.3333333333321</v>
      </c>
      <c r="E14" s="375">
        <f>(E12/$H$12)*$B$14</f>
        <v>11111.111111111111</v>
      </c>
      <c r="F14" s="375">
        <f>(F12/$H$12)*$B$14</f>
        <v>11111.111111111111</v>
      </c>
      <c r="G14" s="375">
        <f>(G12/$H$12)*$B$14</f>
        <v>13888.888888888889</v>
      </c>
      <c r="H14" s="380">
        <f t="shared" si="0"/>
        <v>50000</v>
      </c>
    </row>
    <row r="15" spans="1:9" x14ac:dyDescent="0.2">
      <c r="A15" t="s">
        <v>530</v>
      </c>
      <c r="B15" s="383">
        <v>60000</v>
      </c>
      <c r="C15" s="375">
        <f>$B$15/5</f>
        <v>12000</v>
      </c>
      <c r="D15" s="375">
        <f>$B$15/5</f>
        <v>12000</v>
      </c>
      <c r="E15" s="375">
        <f>$B$15/5</f>
        <v>12000</v>
      </c>
      <c r="F15" s="375">
        <f>$B$15/5</f>
        <v>12000</v>
      </c>
      <c r="G15" s="375">
        <f>$B$15/5</f>
        <v>12000</v>
      </c>
      <c r="H15" s="382">
        <f t="shared" si="0"/>
        <v>60000</v>
      </c>
    </row>
    <row r="16" spans="1:9" x14ac:dyDescent="0.2">
      <c r="A16" t="s">
        <v>45</v>
      </c>
      <c r="B16" s="377">
        <f t="shared" ref="B16:G16" si="1">B15+B14+B13</f>
        <v>210000</v>
      </c>
      <c r="C16" s="375">
        <f t="shared" si="1"/>
        <v>27555.555555555555</v>
      </c>
      <c r="D16" s="375">
        <f t="shared" si="1"/>
        <v>33666.666666666664</v>
      </c>
      <c r="E16" s="375">
        <f t="shared" si="1"/>
        <v>39777.777777777774</v>
      </c>
      <c r="F16" s="375">
        <f t="shared" si="1"/>
        <v>49777.777777777781</v>
      </c>
      <c r="G16" s="375">
        <f t="shared" si="1"/>
        <v>59222.222222222219</v>
      </c>
      <c r="H16" s="376">
        <f t="shared" si="0"/>
        <v>210000</v>
      </c>
    </row>
  </sheetData>
  <mergeCells count="5">
    <mergeCell ref="A8:I8"/>
    <mergeCell ref="A4:I4"/>
    <mergeCell ref="A5:I5"/>
    <mergeCell ref="A6:I6"/>
    <mergeCell ref="A7:I7"/>
  </mergeCells>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workbookViewId="0">
      <selection activeCell="D27" sqref="D27"/>
    </sheetView>
  </sheetViews>
  <sheetFormatPr defaultRowHeight="12.75" x14ac:dyDescent="0.2"/>
  <cols>
    <col min="1" max="6" width="9.140625" style="14"/>
    <col min="7" max="7" width="10.28515625" style="14" customWidth="1"/>
    <col min="8" max="16384" width="9.140625" style="14"/>
  </cols>
  <sheetData>
    <row r="1" spans="1:8" ht="13.5" thickTop="1" x14ac:dyDescent="0.2">
      <c r="A1" s="29" t="s">
        <v>24</v>
      </c>
      <c r="B1" s="30"/>
      <c r="C1" s="30"/>
      <c r="D1" s="30"/>
      <c r="E1" s="30"/>
      <c r="F1" s="30"/>
      <c r="G1" s="30"/>
      <c r="H1" s="31"/>
    </row>
    <row r="2" spans="1:8" ht="13.5" thickBot="1" x14ac:dyDescent="0.25">
      <c r="A2" s="32"/>
      <c r="B2" s="15"/>
      <c r="C2" s="15"/>
      <c r="D2" s="15"/>
      <c r="E2" s="15"/>
      <c r="F2" s="15"/>
      <c r="G2" s="15"/>
      <c r="H2" s="33"/>
    </row>
    <row r="3" spans="1:8" x14ac:dyDescent="0.2">
      <c r="A3" s="430" t="s">
        <v>27</v>
      </c>
      <c r="B3" s="431"/>
      <c r="C3" s="431"/>
      <c r="D3" s="432"/>
      <c r="E3" s="15"/>
      <c r="F3" s="15"/>
      <c r="G3" s="15"/>
      <c r="H3" s="33"/>
    </row>
    <row r="4" spans="1:8" ht="13.5" thickBot="1" x14ac:dyDescent="0.25">
      <c r="A4" s="433"/>
      <c r="B4" s="434"/>
      <c r="C4" s="434"/>
      <c r="D4" s="435"/>
      <c r="E4" s="15"/>
      <c r="F4" s="15"/>
      <c r="G4" s="15"/>
      <c r="H4" s="33"/>
    </row>
    <row r="5" spans="1:8" x14ac:dyDescent="0.2">
      <c r="A5" s="34"/>
      <c r="B5" s="15"/>
      <c r="C5" s="15"/>
      <c r="D5" s="15"/>
      <c r="E5" s="15"/>
      <c r="F5" s="15"/>
      <c r="G5" s="15"/>
      <c r="H5" s="33"/>
    </row>
    <row r="6" spans="1:8" x14ac:dyDescent="0.2">
      <c r="A6" s="436" t="s">
        <v>28</v>
      </c>
      <c r="B6" s="437"/>
      <c r="C6" s="437"/>
      <c r="D6" s="437"/>
      <c r="E6" s="438"/>
      <c r="F6" s="15"/>
      <c r="G6" s="15"/>
      <c r="H6" s="33"/>
    </row>
    <row r="7" spans="1:8" x14ac:dyDescent="0.2">
      <c r="A7" s="439"/>
      <c r="B7" s="440"/>
      <c r="C7" s="440"/>
      <c r="D7" s="440"/>
      <c r="E7" s="441"/>
      <c r="F7" s="15"/>
      <c r="G7" s="15"/>
      <c r="H7" s="33"/>
    </row>
    <row r="8" spans="1:8" x14ac:dyDescent="0.2">
      <c r="A8" s="34"/>
      <c r="B8" s="15"/>
      <c r="C8" s="15"/>
      <c r="D8" s="15"/>
      <c r="E8" s="15"/>
      <c r="F8" s="15"/>
      <c r="G8" s="15"/>
      <c r="H8" s="33"/>
    </row>
    <row r="9" spans="1:8" x14ac:dyDescent="0.2">
      <c r="A9" s="442" t="s">
        <v>52</v>
      </c>
      <c r="B9" s="443"/>
      <c r="C9" s="443"/>
      <c r="D9" s="443"/>
      <c r="E9" s="443"/>
      <c r="F9" s="443"/>
      <c r="G9" s="443"/>
      <c r="H9" s="444"/>
    </row>
    <row r="10" spans="1:8" x14ac:dyDescent="0.2">
      <c r="A10" s="445"/>
      <c r="B10" s="446"/>
      <c r="C10" s="446"/>
      <c r="D10" s="446"/>
      <c r="E10" s="446"/>
      <c r="F10" s="446"/>
      <c r="G10" s="446"/>
      <c r="H10" s="447"/>
    </row>
    <row r="11" spans="1:8" x14ac:dyDescent="0.2">
      <c r="A11" s="34"/>
      <c r="B11" s="15"/>
      <c r="C11" s="15"/>
      <c r="D11" s="15"/>
      <c r="E11" s="15"/>
      <c r="F11" s="15"/>
      <c r="G11" s="15"/>
      <c r="H11" s="33"/>
    </row>
    <row r="12" spans="1:8" x14ac:dyDescent="0.2">
      <c r="A12" s="424" t="s">
        <v>53</v>
      </c>
      <c r="B12" s="425"/>
      <c r="C12" s="425"/>
      <c r="D12" s="425"/>
      <c r="E12" s="425"/>
      <c r="F12" s="425"/>
      <c r="G12" s="426"/>
      <c r="H12" s="33"/>
    </row>
    <row r="13" spans="1:8" x14ac:dyDescent="0.2">
      <c r="A13" s="427"/>
      <c r="B13" s="428"/>
      <c r="C13" s="428"/>
      <c r="D13" s="428"/>
      <c r="E13" s="428"/>
      <c r="F13" s="428"/>
      <c r="G13" s="429"/>
      <c r="H13" s="33"/>
    </row>
    <row r="14" spans="1:8" x14ac:dyDescent="0.2">
      <c r="A14" s="35"/>
      <c r="B14" s="16"/>
      <c r="C14" s="16"/>
      <c r="D14" s="16"/>
      <c r="E14" s="16"/>
      <c r="F14" s="16"/>
      <c r="G14" s="16"/>
      <c r="H14" s="33"/>
    </row>
    <row r="15" spans="1:8" x14ac:dyDescent="0.2">
      <c r="A15" s="35"/>
      <c r="B15" s="16"/>
      <c r="C15" s="16"/>
      <c r="D15" s="16"/>
      <c r="E15" s="16"/>
      <c r="F15" s="16"/>
      <c r="G15" s="16"/>
      <c r="H15" s="33"/>
    </row>
    <row r="16" spans="1:8" x14ac:dyDescent="0.2">
      <c r="A16" s="418" t="s">
        <v>54</v>
      </c>
      <c r="B16" s="419"/>
      <c r="C16" s="419"/>
      <c r="D16" s="419"/>
      <c r="E16" s="419"/>
      <c r="F16" s="419"/>
      <c r="G16" s="420"/>
      <c r="H16" s="33"/>
    </row>
    <row r="17" spans="1:8" x14ac:dyDescent="0.2">
      <c r="A17" s="421"/>
      <c r="B17" s="422"/>
      <c r="C17" s="422"/>
      <c r="D17" s="422"/>
      <c r="E17" s="422"/>
      <c r="F17" s="422"/>
      <c r="G17" s="423"/>
      <c r="H17" s="33"/>
    </row>
    <row r="18" spans="1:8" x14ac:dyDescent="0.2">
      <c r="A18" s="32"/>
      <c r="B18" s="15"/>
      <c r="C18" s="15"/>
      <c r="D18" s="15"/>
      <c r="E18" s="15"/>
      <c r="F18" s="15"/>
      <c r="G18" s="15"/>
      <c r="H18" s="33"/>
    </row>
    <row r="19" spans="1:8" x14ac:dyDescent="0.2">
      <c r="A19" s="32"/>
      <c r="B19" s="15"/>
      <c r="C19" s="15"/>
      <c r="D19" s="15"/>
      <c r="E19" s="15"/>
      <c r="F19" s="15"/>
      <c r="G19" s="15"/>
      <c r="H19" s="33"/>
    </row>
    <row r="20" spans="1:8" ht="13.5" thickBot="1" x14ac:dyDescent="0.25">
      <c r="A20" s="414" t="s">
        <v>219</v>
      </c>
      <c r="B20" s="415"/>
      <c r="C20" s="415"/>
      <c r="D20" s="415"/>
      <c r="E20" s="416"/>
      <c r="F20" s="416"/>
      <c r="G20" s="416"/>
      <c r="H20" s="417"/>
    </row>
    <row r="21" spans="1:8" ht="13.5" thickTop="1" x14ac:dyDescent="0.2"/>
  </sheetData>
  <mergeCells count="6">
    <mergeCell ref="A20:H20"/>
    <mergeCell ref="A16:G17"/>
    <mergeCell ref="A12:G13"/>
    <mergeCell ref="A3:D4"/>
    <mergeCell ref="A6:E7"/>
    <mergeCell ref="A9:H10"/>
  </mergeCells>
  <phoneticPr fontId="3" type="noConversion"/>
  <pageMargins left="0.75" right="0.75" top="1" bottom="1" header="0.5" footer="0.5"/>
  <pageSetup paperSize="9"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6" workbookViewId="0">
      <selection activeCell="I27" sqref="I27"/>
    </sheetView>
  </sheetViews>
  <sheetFormatPr defaultRowHeight="12.75" x14ac:dyDescent="0.2"/>
  <cols>
    <col min="3" max="3" width="10.42578125" bestFit="1" customWidth="1"/>
  </cols>
  <sheetData>
    <row r="1" spans="1:8" x14ac:dyDescent="0.2">
      <c r="A1" s="312" t="s">
        <v>351</v>
      </c>
    </row>
    <row r="2" spans="1:8" x14ac:dyDescent="0.2">
      <c r="A2" t="s">
        <v>352</v>
      </c>
    </row>
    <row r="3" spans="1:8" x14ac:dyDescent="0.2">
      <c r="A3" t="s">
        <v>353</v>
      </c>
    </row>
    <row r="4" spans="1:8" x14ac:dyDescent="0.2">
      <c r="A4" t="s">
        <v>354</v>
      </c>
    </row>
    <row r="5" spans="1:8" x14ac:dyDescent="0.2">
      <c r="A5" t="s">
        <v>355</v>
      </c>
    </row>
    <row r="6" spans="1:8" x14ac:dyDescent="0.2">
      <c r="A6" s="292" t="s">
        <v>356</v>
      </c>
      <c r="B6" s="292" t="s">
        <v>357</v>
      </c>
      <c r="C6" t="s">
        <v>358</v>
      </c>
    </row>
    <row r="7" spans="1:8" x14ac:dyDescent="0.2">
      <c r="A7" s="292" t="s">
        <v>359</v>
      </c>
      <c r="B7" s="292">
        <v>10</v>
      </c>
      <c r="C7" s="313">
        <v>500</v>
      </c>
      <c r="D7" s="313"/>
      <c r="E7" s="313"/>
      <c r="F7" s="313"/>
      <c r="G7" s="313"/>
      <c r="H7" s="313"/>
    </row>
    <row r="8" spans="1:8" x14ac:dyDescent="0.2">
      <c r="A8" s="292" t="s">
        <v>360</v>
      </c>
      <c r="B8" s="292">
        <v>20</v>
      </c>
      <c r="C8" s="313">
        <v>520</v>
      </c>
      <c r="D8" s="313"/>
      <c r="E8" s="313"/>
      <c r="F8" s="313"/>
      <c r="G8" s="313"/>
      <c r="H8" s="313"/>
    </row>
    <row r="9" spans="1:8" x14ac:dyDescent="0.2">
      <c r="A9" s="292" t="s">
        <v>361</v>
      </c>
      <c r="B9" s="292">
        <v>30</v>
      </c>
      <c r="C9" s="313">
        <v>540</v>
      </c>
      <c r="D9" s="313"/>
      <c r="E9" s="313"/>
      <c r="F9" s="313"/>
      <c r="G9" s="313"/>
      <c r="H9" s="313"/>
    </row>
    <row r="10" spans="1:8" x14ac:dyDescent="0.2">
      <c r="A10" s="292" t="s">
        <v>362</v>
      </c>
      <c r="B10" s="292">
        <v>40</v>
      </c>
      <c r="C10" s="313">
        <v>560</v>
      </c>
      <c r="D10" s="313"/>
      <c r="E10" s="313"/>
      <c r="F10" s="313"/>
      <c r="G10" s="313"/>
      <c r="H10" s="313"/>
    </row>
    <row r="11" spans="1:8" x14ac:dyDescent="0.2">
      <c r="A11" s="292" t="s">
        <v>363</v>
      </c>
      <c r="B11" s="292">
        <v>50</v>
      </c>
      <c r="C11" s="313">
        <v>580</v>
      </c>
      <c r="D11" s="313"/>
      <c r="E11" s="313"/>
      <c r="F11" s="313"/>
      <c r="G11" s="313"/>
      <c r="H11" s="313"/>
    </row>
    <row r="12" spans="1:8" x14ac:dyDescent="0.2">
      <c r="A12" s="292" t="s">
        <v>364</v>
      </c>
      <c r="B12" s="292">
        <v>60</v>
      </c>
      <c r="C12" s="313">
        <v>600</v>
      </c>
      <c r="D12" s="313"/>
      <c r="E12" s="313"/>
      <c r="F12" s="313"/>
      <c r="G12" s="313"/>
      <c r="H12" s="313"/>
    </row>
    <row r="13" spans="1:8" x14ac:dyDescent="0.2">
      <c r="A13" s="292" t="s">
        <v>365</v>
      </c>
      <c r="B13" s="292">
        <v>70</v>
      </c>
      <c r="C13" s="313">
        <v>620</v>
      </c>
      <c r="D13" s="313"/>
      <c r="E13" s="313"/>
      <c r="F13" s="313"/>
      <c r="G13" s="313"/>
      <c r="H13" s="313"/>
    </row>
    <row r="14" spans="1:8" x14ac:dyDescent="0.2">
      <c r="A14" s="292" t="s">
        <v>366</v>
      </c>
      <c r="B14" s="292">
        <v>80</v>
      </c>
      <c r="C14" s="313">
        <v>640</v>
      </c>
      <c r="D14" s="313"/>
      <c r="E14" s="313"/>
      <c r="F14" s="313"/>
      <c r="G14" s="313"/>
      <c r="H14" s="313"/>
    </row>
    <row r="15" spans="1:8" x14ac:dyDescent="0.2">
      <c r="A15" s="292" t="s">
        <v>367</v>
      </c>
      <c r="B15" s="292">
        <v>90</v>
      </c>
      <c r="C15" s="313">
        <v>660</v>
      </c>
      <c r="D15" s="313"/>
      <c r="E15" s="313"/>
      <c r="F15" s="313"/>
      <c r="G15" s="313"/>
      <c r="H15" s="313"/>
    </row>
    <row r="16" spans="1:8" x14ac:dyDescent="0.2">
      <c r="A16" s="292" t="s">
        <v>368</v>
      </c>
      <c r="B16" s="292">
        <v>100</v>
      </c>
      <c r="C16" s="313">
        <v>680</v>
      </c>
      <c r="D16" s="313"/>
      <c r="E16" s="313"/>
      <c r="F16" s="313"/>
      <c r="G16" s="313"/>
      <c r="H16" s="313"/>
    </row>
    <row r="17" spans="1:8" x14ac:dyDescent="0.2">
      <c r="A17" s="292" t="s">
        <v>369</v>
      </c>
      <c r="B17" s="292">
        <v>25</v>
      </c>
      <c r="C17" s="313">
        <v>700</v>
      </c>
      <c r="D17" s="313"/>
      <c r="E17" s="313"/>
      <c r="F17" s="313"/>
      <c r="G17" s="313"/>
      <c r="H17" s="313"/>
    </row>
    <row r="18" spans="1:8" x14ac:dyDescent="0.2">
      <c r="A18" s="292" t="s">
        <v>370</v>
      </c>
      <c r="B18" s="292">
        <v>50</v>
      </c>
      <c r="C18" s="313">
        <v>720</v>
      </c>
      <c r="D18" s="313"/>
      <c r="E18" s="313"/>
      <c r="F18" s="313"/>
      <c r="G18" s="313"/>
      <c r="H18" s="313"/>
    </row>
    <row r="19" spans="1:8" x14ac:dyDescent="0.2">
      <c r="A19" s="292" t="s">
        <v>371</v>
      </c>
      <c r="B19" s="292">
        <v>75</v>
      </c>
      <c r="C19" s="313">
        <v>740</v>
      </c>
      <c r="D19" s="313"/>
      <c r="E19" s="313"/>
      <c r="F19" s="313"/>
      <c r="G19" s="313"/>
      <c r="H19" s="313"/>
    </row>
    <row r="20" spans="1:8" x14ac:dyDescent="0.2">
      <c r="A20" s="292" t="s">
        <v>372</v>
      </c>
      <c r="B20" s="292">
        <v>100</v>
      </c>
      <c r="C20" s="313">
        <v>760</v>
      </c>
      <c r="D20" s="313"/>
      <c r="E20" s="313"/>
      <c r="F20" s="313"/>
      <c r="G20" s="313"/>
      <c r="H20" s="313"/>
    </row>
    <row r="21" spans="1:8" ht="15.75" x14ac:dyDescent="0.2">
      <c r="A21" s="292" t="s">
        <v>373</v>
      </c>
      <c r="B21" s="292">
        <v>125</v>
      </c>
      <c r="C21" s="313">
        <v>780</v>
      </c>
      <c r="D21" s="313"/>
      <c r="E21" s="313"/>
      <c r="F21" s="313"/>
      <c r="G21" s="323"/>
      <c r="H21" s="324"/>
    </row>
    <row r="22" spans="1:8" ht="15.75" x14ac:dyDescent="0.2">
      <c r="A22" s="292" t="s">
        <v>374</v>
      </c>
      <c r="B22" s="292">
        <v>150</v>
      </c>
      <c r="C22" s="313">
        <v>600</v>
      </c>
      <c r="D22" s="313"/>
      <c r="E22" s="313"/>
      <c r="F22" s="313"/>
      <c r="G22" s="323"/>
      <c r="H22" s="323"/>
    </row>
    <row r="23" spans="1:8" ht="15.75" x14ac:dyDescent="0.2">
      <c r="A23" s="292" t="s">
        <v>375</v>
      </c>
      <c r="B23" s="292">
        <v>175</v>
      </c>
      <c r="C23" s="313">
        <v>610</v>
      </c>
      <c r="D23" s="313"/>
      <c r="E23" s="313"/>
      <c r="F23" s="313"/>
      <c r="G23" s="323"/>
      <c r="H23" s="323"/>
    </row>
    <row r="24" spans="1:8" ht="15.75" x14ac:dyDescent="0.2">
      <c r="A24" s="292" t="s">
        <v>376</v>
      </c>
      <c r="B24" s="292">
        <v>200</v>
      </c>
      <c r="C24" s="313">
        <v>620</v>
      </c>
      <c r="D24" s="313"/>
      <c r="E24" s="313"/>
      <c r="F24" s="313"/>
      <c r="G24" s="323"/>
      <c r="H24" s="324"/>
    </row>
    <row r="25" spans="1:8" ht="15.75" x14ac:dyDescent="0.2">
      <c r="A25" s="292" t="s">
        <v>377</v>
      </c>
      <c r="B25" s="292">
        <v>225</v>
      </c>
      <c r="C25" s="313">
        <v>630</v>
      </c>
      <c r="D25" s="313"/>
      <c r="E25" s="313"/>
      <c r="F25" s="313"/>
      <c r="G25" s="323"/>
      <c r="H25" s="323"/>
    </row>
    <row r="26" spans="1:8" ht="15.75" x14ac:dyDescent="0.2">
      <c r="A26" s="292" t="s">
        <v>378</v>
      </c>
      <c r="B26" s="292">
        <v>250</v>
      </c>
      <c r="C26" s="313">
        <v>640</v>
      </c>
      <c r="D26" s="313"/>
      <c r="E26" s="313"/>
      <c r="F26" s="313"/>
      <c r="G26" s="323"/>
      <c r="H26" s="324"/>
    </row>
    <row r="27" spans="1:8" ht="15.75" x14ac:dyDescent="0.2">
      <c r="A27" s="292" t="s">
        <v>379</v>
      </c>
      <c r="B27" s="292">
        <v>1000</v>
      </c>
      <c r="C27" s="313">
        <v>650</v>
      </c>
      <c r="D27" s="313"/>
      <c r="E27" s="313"/>
      <c r="F27" s="313"/>
      <c r="G27" s="323"/>
      <c r="H27" s="323"/>
    </row>
    <row r="28" spans="1:8" ht="15.75" x14ac:dyDescent="0.2">
      <c r="A28" s="292" t="s">
        <v>380</v>
      </c>
      <c r="B28" s="292">
        <v>1100</v>
      </c>
      <c r="C28" s="313">
        <v>660</v>
      </c>
      <c r="D28" s="313"/>
      <c r="E28" s="313"/>
      <c r="F28" s="313"/>
      <c r="G28" s="325"/>
      <c r="H28" s="326"/>
    </row>
    <row r="29" spans="1:8" x14ac:dyDescent="0.2">
      <c r="A29" s="292" t="s">
        <v>381</v>
      </c>
      <c r="B29" s="292">
        <v>1200</v>
      </c>
      <c r="C29" s="313">
        <v>670</v>
      </c>
      <c r="D29" s="313"/>
      <c r="E29" s="313"/>
      <c r="F29" s="313"/>
      <c r="G29" s="313"/>
      <c r="H29" s="313"/>
    </row>
    <row r="30" spans="1:8" x14ac:dyDescent="0.2">
      <c r="A30" s="292" t="s">
        <v>382</v>
      </c>
      <c r="B30" s="292">
        <v>1300</v>
      </c>
      <c r="C30" s="313">
        <v>680</v>
      </c>
      <c r="D30" s="313"/>
      <c r="E30" s="313"/>
      <c r="F30" s="313"/>
      <c r="G30" s="313"/>
      <c r="H30" s="313"/>
    </row>
    <row r="31" spans="1:8" x14ac:dyDescent="0.2">
      <c r="A31" s="292" t="s">
        <v>383</v>
      </c>
      <c r="B31" s="292">
        <v>1400</v>
      </c>
      <c r="C31" s="313">
        <v>690</v>
      </c>
      <c r="D31" s="313"/>
      <c r="E31" s="313"/>
      <c r="F31" s="313"/>
      <c r="G31" s="313"/>
      <c r="H31" s="313"/>
    </row>
    <row r="32" spans="1:8" x14ac:dyDescent="0.2">
      <c r="A32" s="292" t="s">
        <v>384</v>
      </c>
      <c r="B32" s="292">
        <v>1500</v>
      </c>
      <c r="C32" s="313">
        <v>300</v>
      </c>
      <c r="D32" s="313"/>
      <c r="E32" s="313"/>
      <c r="F32" s="313"/>
      <c r="G32" s="313"/>
      <c r="H32" s="313"/>
    </row>
    <row r="33" spans="1:8" x14ac:dyDescent="0.2">
      <c r="A33" s="292" t="s">
        <v>385</v>
      </c>
      <c r="B33" s="292">
        <v>1600</v>
      </c>
      <c r="C33" s="313">
        <v>310</v>
      </c>
      <c r="D33" s="313"/>
      <c r="E33" s="313"/>
      <c r="F33" s="313"/>
      <c r="G33" s="313"/>
      <c r="H33" s="313"/>
    </row>
    <row r="34" spans="1:8" x14ac:dyDescent="0.2">
      <c r="A34" s="292" t="s">
        <v>386</v>
      </c>
      <c r="B34" s="292">
        <v>1700</v>
      </c>
      <c r="C34" s="313">
        <v>320</v>
      </c>
      <c r="D34" s="313"/>
      <c r="E34" s="313"/>
      <c r="F34" s="313"/>
      <c r="G34" s="313"/>
      <c r="H34" s="313"/>
    </row>
    <row r="35" spans="1:8" x14ac:dyDescent="0.2">
      <c r="A35" s="292" t="s">
        <v>387</v>
      </c>
      <c r="B35" s="292">
        <v>1800</v>
      </c>
      <c r="C35" s="313">
        <v>330</v>
      </c>
      <c r="D35" s="313"/>
      <c r="E35" s="313"/>
      <c r="F35" s="313"/>
      <c r="G35" s="313"/>
      <c r="H35" s="313"/>
    </row>
    <row r="36" spans="1:8" x14ac:dyDescent="0.2">
      <c r="A36" s="292" t="s">
        <v>388</v>
      </c>
      <c r="B36" s="292">
        <v>1900</v>
      </c>
      <c r="C36" s="313">
        <v>340</v>
      </c>
      <c r="D36" s="313"/>
      <c r="E36" s="313"/>
      <c r="F36" s="313"/>
      <c r="G36" s="313"/>
      <c r="H36" s="313"/>
    </row>
    <row r="37" spans="1:8" x14ac:dyDescent="0.2">
      <c r="A37" s="292" t="s">
        <v>389</v>
      </c>
      <c r="B37" s="292">
        <v>1000</v>
      </c>
      <c r="C37" s="313">
        <v>350</v>
      </c>
      <c r="D37" s="313"/>
      <c r="E37" s="313"/>
      <c r="F37" s="313"/>
      <c r="G37" s="313"/>
      <c r="H37" s="313"/>
    </row>
    <row r="38" spans="1:8" x14ac:dyDescent="0.2">
      <c r="A38" s="292" t="s">
        <v>390</v>
      </c>
      <c r="B38" s="292">
        <v>2000</v>
      </c>
      <c r="C38" s="313">
        <v>360</v>
      </c>
      <c r="D38" s="313"/>
      <c r="E38" s="313"/>
      <c r="F38" s="313"/>
      <c r="G38" s="313"/>
      <c r="H38" s="313"/>
    </row>
    <row r="39" spans="1:8" x14ac:dyDescent="0.2">
      <c r="A39" s="292" t="s">
        <v>391</v>
      </c>
      <c r="B39" s="292">
        <v>3000</v>
      </c>
      <c r="C39" s="313">
        <v>370</v>
      </c>
      <c r="D39" s="313"/>
      <c r="E39" s="313"/>
      <c r="F39" s="313"/>
      <c r="G39" s="313"/>
      <c r="H39" s="313"/>
    </row>
    <row r="40" spans="1:8" x14ac:dyDescent="0.2">
      <c r="A40" s="292" t="s">
        <v>392</v>
      </c>
      <c r="B40" s="292">
        <v>4000</v>
      </c>
      <c r="C40" s="313">
        <v>380</v>
      </c>
      <c r="D40" s="313"/>
      <c r="E40" s="313"/>
      <c r="F40" s="313"/>
      <c r="G40" s="313"/>
      <c r="H40" s="313"/>
    </row>
    <row r="41" spans="1:8" x14ac:dyDescent="0.2">
      <c r="A41" s="292" t="s">
        <v>393</v>
      </c>
      <c r="B41" s="292">
        <v>5000</v>
      </c>
      <c r="C41" s="313">
        <v>390</v>
      </c>
      <c r="D41" s="313"/>
      <c r="E41" s="313"/>
      <c r="F41" s="313"/>
      <c r="G41" s="313"/>
      <c r="H41" s="313"/>
    </row>
    <row r="42" spans="1:8" x14ac:dyDescent="0.2">
      <c r="C42" s="313"/>
      <c r="D42" s="313"/>
      <c r="E42" s="313"/>
      <c r="F42" s="313"/>
      <c r="G42" s="313"/>
      <c r="H42" s="313"/>
    </row>
    <row r="43" spans="1:8" x14ac:dyDescent="0.2">
      <c r="C43" s="313"/>
      <c r="D43" s="313"/>
      <c r="E43" s="313"/>
      <c r="F43" s="313"/>
      <c r="G43" s="313"/>
      <c r="H43" s="313"/>
    </row>
  </sheetData>
  <phoneticPr fontId="3"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8"/>
  <sheetViews>
    <sheetView workbookViewId="0">
      <selection activeCell="G16" sqref="G16"/>
    </sheetView>
  </sheetViews>
  <sheetFormatPr defaultRowHeight="12.75" x14ac:dyDescent="0.2"/>
  <cols>
    <col min="1" max="1" width="9.28515625" bestFit="1" customWidth="1"/>
    <col min="2" max="2" width="5.28515625" bestFit="1" customWidth="1"/>
    <col min="3" max="3" width="10.42578125" bestFit="1" customWidth="1"/>
    <col min="4" max="4" width="10.28515625" bestFit="1" customWidth="1"/>
  </cols>
  <sheetData>
    <row r="1" spans="1:8" x14ac:dyDescent="0.2">
      <c r="A1" s="292" t="s">
        <v>356</v>
      </c>
      <c r="B1" s="292" t="s">
        <v>357</v>
      </c>
      <c r="C1" t="s">
        <v>358</v>
      </c>
      <c r="D1" t="s">
        <v>195</v>
      </c>
      <c r="F1" s="291">
        <v>1</v>
      </c>
      <c r="G1" s="291">
        <v>2</v>
      </c>
      <c r="H1" s="291">
        <v>3</v>
      </c>
    </row>
    <row r="2" spans="1:8" x14ac:dyDescent="0.2">
      <c r="A2" s="292" t="s">
        <v>393</v>
      </c>
      <c r="B2" s="292">
        <v>5000</v>
      </c>
      <c r="C2" s="313">
        <v>390</v>
      </c>
      <c r="D2" s="314">
        <f t="shared" ref="D2:D35" si="0">C2*B2</f>
        <v>1950000</v>
      </c>
      <c r="E2" s="313"/>
      <c r="F2" s="315" t="s">
        <v>394</v>
      </c>
      <c r="G2" s="315" t="s">
        <v>395</v>
      </c>
      <c r="H2" s="315" t="s">
        <v>396</v>
      </c>
    </row>
    <row r="3" spans="1:8" x14ac:dyDescent="0.2">
      <c r="A3" s="292" t="s">
        <v>392</v>
      </c>
      <c r="B3" s="292">
        <v>4000</v>
      </c>
      <c r="C3" s="313">
        <v>380</v>
      </c>
      <c r="D3" s="314">
        <f t="shared" si="0"/>
        <v>1520000</v>
      </c>
      <c r="E3" s="313"/>
      <c r="F3" s="315">
        <f>COUNT(D2:D36)</f>
        <v>35</v>
      </c>
      <c r="G3" s="315">
        <f>F3*0.2</f>
        <v>7</v>
      </c>
      <c r="H3" s="316">
        <f>E8/D37</f>
        <v>0.58289396602226129</v>
      </c>
    </row>
    <row r="4" spans="1:8" x14ac:dyDescent="0.2">
      <c r="A4" s="292" t="s">
        <v>391</v>
      </c>
      <c r="B4" s="292">
        <v>3000</v>
      </c>
      <c r="C4" s="313">
        <v>370</v>
      </c>
      <c r="D4" s="314">
        <f t="shared" si="0"/>
        <v>1110000</v>
      </c>
      <c r="E4" s="313"/>
      <c r="F4" s="313"/>
      <c r="G4" s="313"/>
      <c r="H4" s="313"/>
    </row>
    <row r="5" spans="1:8" x14ac:dyDescent="0.2">
      <c r="A5" s="292" t="s">
        <v>383</v>
      </c>
      <c r="B5" s="292">
        <v>1400</v>
      </c>
      <c r="C5" s="313">
        <v>690</v>
      </c>
      <c r="D5" s="314">
        <f t="shared" si="0"/>
        <v>966000</v>
      </c>
      <c r="E5" s="313"/>
      <c r="F5" s="313"/>
      <c r="G5" s="313"/>
      <c r="H5" s="313"/>
    </row>
    <row r="6" spans="1:8" x14ac:dyDescent="0.2">
      <c r="A6" s="292" t="s">
        <v>382</v>
      </c>
      <c r="B6" s="292">
        <v>1300</v>
      </c>
      <c r="C6" s="313">
        <v>680</v>
      </c>
      <c r="D6" s="314">
        <f t="shared" si="0"/>
        <v>884000</v>
      </c>
      <c r="E6" s="313"/>
      <c r="F6" s="313"/>
      <c r="G6" s="313"/>
      <c r="H6" s="313"/>
    </row>
    <row r="7" spans="1:8" x14ac:dyDescent="0.2">
      <c r="A7" s="292" t="s">
        <v>381</v>
      </c>
      <c r="B7" s="292">
        <v>1200</v>
      </c>
      <c r="C7" s="313">
        <v>670</v>
      </c>
      <c r="D7" s="314">
        <f t="shared" si="0"/>
        <v>804000</v>
      </c>
      <c r="E7" s="313"/>
      <c r="F7" s="313"/>
      <c r="G7" s="313"/>
      <c r="H7" s="313"/>
    </row>
    <row r="8" spans="1:8" x14ac:dyDescent="0.2">
      <c r="A8" s="292" t="s">
        <v>380</v>
      </c>
      <c r="B8" s="292">
        <v>1100</v>
      </c>
      <c r="C8" s="313">
        <v>660</v>
      </c>
      <c r="D8" s="314">
        <f t="shared" si="0"/>
        <v>726000</v>
      </c>
      <c r="E8" s="314">
        <f>SUM(D2:D8)</f>
        <v>7960000</v>
      </c>
      <c r="F8" s="313"/>
      <c r="G8" s="313"/>
      <c r="H8" s="313"/>
    </row>
    <row r="9" spans="1:8" x14ac:dyDescent="0.2">
      <c r="A9" s="292" t="s">
        <v>390</v>
      </c>
      <c r="B9" s="292">
        <v>2000</v>
      </c>
      <c r="C9" s="313">
        <v>360</v>
      </c>
      <c r="D9" s="313">
        <f t="shared" si="0"/>
        <v>720000</v>
      </c>
      <c r="E9" s="313"/>
      <c r="F9" s="313"/>
      <c r="G9" s="313"/>
      <c r="H9" s="313"/>
    </row>
    <row r="10" spans="1:8" x14ac:dyDescent="0.2">
      <c r="A10" s="292" t="s">
        <v>379</v>
      </c>
      <c r="B10" s="292">
        <v>1000</v>
      </c>
      <c r="C10" s="313">
        <v>650</v>
      </c>
      <c r="D10" s="313">
        <f t="shared" si="0"/>
        <v>650000</v>
      </c>
      <c r="E10" s="313"/>
      <c r="F10" s="313"/>
      <c r="G10" s="313"/>
      <c r="H10" s="313"/>
    </row>
    <row r="11" spans="1:8" x14ac:dyDescent="0.2">
      <c r="A11" s="292" t="s">
        <v>388</v>
      </c>
      <c r="B11" s="292">
        <v>1900</v>
      </c>
      <c r="C11" s="313">
        <v>340</v>
      </c>
      <c r="D11" s="313">
        <f t="shared" si="0"/>
        <v>646000</v>
      </c>
      <c r="E11" s="313"/>
      <c r="F11" s="313"/>
      <c r="G11" s="313"/>
      <c r="H11" s="313"/>
    </row>
    <row r="12" spans="1:8" x14ac:dyDescent="0.2">
      <c r="A12" s="292" t="s">
        <v>387</v>
      </c>
      <c r="B12" s="292">
        <v>1800</v>
      </c>
      <c r="C12" s="313">
        <v>330</v>
      </c>
      <c r="D12" s="313">
        <f t="shared" si="0"/>
        <v>594000</v>
      </c>
      <c r="E12" s="313"/>
      <c r="F12" s="313"/>
      <c r="G12" s="313"/>
      <c r="H12" s="313"/>
    </row>
    <row r="13" spans="1:8" x14ac:dyDescent="0.2">
      <c r="A13" s="292" t="s">
        <v>386</v>
      </c>
      <c r="B13" s="292">
        <v>1700</v>
      </c>
      <c r="C13" s="313">
        <v>320</v>
      </c>
      <c r="D13" s="313">
        <f t="shared" si="0"/>
        <v>544000</v>
      </c>
      <c r="E13" s="313"/>
      <c r="F13" s="313"/>
      <c r="G13" s="313"/>
      <c r="H13" s="313"/>
    </row>
    <row r="14" spans="1:8" x14ac:dyDescent="0.2">
      <c r="A14" s="292" t="s">
        <v>385</v>
      </c>
      <c r="B14" s="292">
        <v>1600</v>
      </c>
      <c r="C14" s="313">
        <v>310</v>
      </c>
      <c r="D14" s="313">
        <f t="shared" si="0"/>
        <v>496000</v>
      </c>
      <c r="E14" s="313"/>
      <c r="F14" s="313"/>
      <c r="G14" s="313"/>
      <c r="H14" s="313"/>
    </row>
    <row r="15" spans="1:8" x14ac:dyDescent="0.2">
      <c r="A15" s="292" t="s">
        <v>384</v>
      </c>
      <c r="B15" s="292">
        <v>1500</v>
      </c>
      <c r="C15" s="313">
        <v>300</v>
      </c>
      <c r="D15" s="313">
        <f t="shared" si="0"/>
        <v>450000</v>
      </c>
      <c r="E15" s="313"/>
      <c r="F15" s="313"/>
      <c r="G15" s="313"/>
      <c r="H15" s="313"/>
    </row>
    <row r="16" spans="1:8" x14ac:dyDescent="0.2">
      <c r="A16" s="292" t="s">
        <v>389</v>
      </c>
      <c r="B16" s="292">
        <v>1000</v>
      </c>
      <c r="C16" s="313">
        <v>350</v>
      </c>
      <c r="D16" s="313">
        <f t="shared" si="0"/>
        <v>350000</v>
      </c>
      <c r="E16" s="313"/>
      <c r="F16" s="313"/>
      <c r="G16" s="313"/>
      <c r="H16" s="313"/>
    </row>
    <row r="17" spans="1:8" x14ac:dyDescent="0.2">
      <c r="A17" s="292" t="s">
        <v>378</v>
      </c>
      <c r="B17" s="292">
        <v>250</v>
      </c>
      <c r="C17" s="313">
        <v>640</v>
      </c>
      <c r="D17" s="313">
        <f t="shared" si="0"/>
        <v>160000</v>
      </c>
      <c r="E17" s="313"/>
      <c r="F17" s="313"/>
      <c r="G17" s="313"/>
      <c r="H17" s="313"/>
    </row>
    <row r="18" spans="1:8" x14ac:dyDescent="0.2">
      <c r="A18" s="292" t="s">
        <v>377</v>
      </c>
      <c r="B18" s="292">
        <v>225</v>
      </c>
      <c r="C18" s="313">
        <v>630</v>
      </c>
      <c r="D18" s="313">
        <f t="shared" si="0"/>
        <v>141750</v>
      </c>
      <c r="E18" s="313"/>
      <c r="F18" s="313"/>
      <c r="G18" s="313"/>
      <c r="H18" s="313"/>
    </row>
    <row r="19" spans="1:8" x14ac:dyDescent="0.2">
      <c r="A19" s="292" t="s">
        <v>376</v>
      </c>
      <c r="B19" s="292">
        <v>200</v>
      </c>
      <c r="C19" s="313">
        <v>620</v>
      </c>
      <c r="D19" s="313">
        <f t="shared" si="0"/>
        <v>124000</v>
      </c>
      <c r="E19" s="313"/>
      <c r="F19" s="313"/>
      <c r="G19" s="313"/>
      <c r="H19" s="313"/>
    </row>
    <row r="20" spans="1:8" x14ac:dyDescent="0.2">
      <c r="A20" s="292" t="s">
        <v>375</v>
      </c>
      <c r="B20" s="292">
        <v>175</v>
      </c>
      <c r="C20" s="313">
        <v>610</v>
      </c>
      <c r="D20" s="313">
        <f t="shared" si="0"/>
        <v>106750</v>
      </c>
      <c r="E20" s="313"/>
      <c r="F20" s="313"/>
      <c r="G20" s="313"/>
      <c r="H20" s="313"/>
    </row>
    <row r="21" spans="1:8" x14ac:dyDescent="0.2">
      <c r="A21" s="292" t="s">
        <v>373</v>
      </c>
      <c r="B21" s="292">
        <v>125</v>
      </c>
      <c r="C21" s="313">
        <v>780</v>
      </c>
      <c r="D21" s="313">
        <f t="shared" si="0"/>
        <v>97500</v>
      </c>
      <c r="E21" s="313"/>
      <c r="F21" s="313"/>
      <c r="G21" s="313"/>
      <c r="H21" s="313"/>
    </row>
    <row r="22" spans="1:8" x14ac:dyDescent="0.2">
      <c r="A22" s="292" t="s">
        <v>374</v>
      </c>
      <c r="B22" s="292">
        <v>150</v>
      </c>
      <c r="C22" s="313">
        <v>600</v>
      </c>
      <c r="D22" s="313">
        <f t="shared" si="0"/>
        <v>90000</v>
      </c>
      <c r="E22" s="313"/>
      <c r="F22" s="313"/>
      <c r="G22" s="313"/>
      <c r="H22" s="313"/>
    </row>
    <row r="23" spans="1:8" x14ac:dyDescent="0.2">
      <c r="A23" s="292" t="s">
        <v>372</v>
      </c>
      <c r="B23" s="292">
        <v>100</v>
      </c>
      <c r="C23" s="313">
        <v>760</v>
      </c>
      <c r="D23" s="313">
        <f t="shared" si="0"/>
        <v>76000</v>
      </c>
      <c r="E23" s="313"/>
      <c r="F23" s="313"/>
      <c r="G23" s="313"/>
      <c r="H23" s="313"/>
    </row>
    <row r="24" spans="1:8" x14ac:dyDescent="0.2">
      <c r="A24" s="292" t="s">
        <v>368</v>
      </c>
      <c r="B24" s="292">
        <v>100</v>
      </c>
      <c r="C24" s="313">
        <v>680</v>
      </c>
      <c r="D24" s="313">
        <f t="shared" si="0"/>
        <v>68000</v>
      </c>
      <c r="E24" s="313"/>
      <c r="F24" s="313"/>
      <c r="G24" s="313"/>
      <c r="H24" s="313"/>
    </row>
    <row r="25" spans="1:8" x14ac:dyDescent="0.2">
      <c r="A25" s="292" t="s">
        <v>367</v>
      </c>
      <c r="B25" s="292">
        <v>90</v>
      </c>
      <c r="C25" s="313">
        <v>660</v>
      </c>
      <c r="D25" s="313">
        <f t="shared" si="0"/>
        <v>59400</v>
      </c>
      <c r="E25" s="313"/>
      <c r="F25" s="313"/>
      <c r="G25" s="313"/>
      <c r="H25" s="313"/>
    </row>
    <row r="26" spans="1:8" x14ac:dyDescent="0.2">
      <c r="A26" s="292" t="s">
        <v>371</v>
      </c>
      <c r="B26" s="292">
        <v>75</v>
      </c>
      <c r="C26" s="313">
        <v>740</v>
      </c>
      <c r="D26" s="313">
        <f t="shared" si="0"/>
        <v>55500</v>
      </c>
      <c r="E26" s="313"/>
      <c r="F26" s="313"/>
      <c r="G26" s="313"/>
      <c r="H26" s="313"/>
    </row>
    <row r="27" spans="1:8" x14ac:dyDescent="0.2">
      <c r="A27" s="292" t="s">
        <v>366</v>
      </c>
      <c r="B27" s="292">
        <v>80</v>
      </c>
      <c r="C27" s="313">
        <v>640</v>
      </c>
      <c r="D27" s="313">
        <f t="shared" si="0"/>
        <v>51200</v>
      </c>
      <c r="E27" s="313"/>
      <c r="F27" s="313"/>
      <c r="G27" s="313"/>
      <c r="H27" s="313"/>
    </row>
    <row r="28" spans="1:8" x14ac:dyDescent="0.2">
      <c r="A28" s="292" t="s">
        <v>365</v>
      </c>
      <c r="B28" s="292">
        <v>70</v>
      </c>
      <c r="C28" s="313">
        <v>620</v>
      </c>
      <c r="D28" s="313">
        <f t="shared" si="0"/>
        <v>43400</v>
      </c>
      <c r="E28" s="313"/>
      <c r="F28" s="313"/>
      <c r="G28" s="313"/>
      <c r="H28" s="313"/>
    </row>
    <row r="29" spans="1:8" x14ac:dyDescent="0.2">
      <c r="A29" s="292" t="s">
        <v>364</v>
      </c>
      <c r="B29" s="292">
        <v>60</v>
      </c>
      <c r="C29" s="313">
        <v>600</v>
      </c>
      <c r="D29" s="313">
        <f t="shared" si="0"/>
        <v>36000</v>
      </c>
      <c r="E29" s="313"/>
      <c r="F29" s="313"/>
      <c r="G29" s="313"/>
      <c r="H29" s="313"/>
    </row>
    <row r="30" spans="1:8" x14ac:dyDescent="0.2">
      <c r="A30" s="292" t="s">
        <v>370</v>
      </c>
      <c r="B30" s="292">
        <v>50</v>
      </c>
      <c r="C30" s="313">
        <v>720</v>
      </c>
      <c r="D30" s="313">
        <f t="shared" si="0"/>
        <v>36000</v>
      </c>
      <c r="E30" s="313"/>
      <c r="F30" s="313"/>
      <c r="G30" s="313"/>
      <c r="H30" s="313"/>
    </row>
    <row r="31" spans="1:8" x14ac:dyDescent="0.2">
      <c r="A31" s="292" t="s">
        <v>363</v>
      </c>
      <c r="B31" s="292">
        <v>50</v>
      </c>
      <c r="C31" s="313">
        <v>580</v>
      </c>
      <c r="D31" s="313">
        <f t="shared" si="0"/>
        <v>29000</v>
      </c>
      <c r="E31" s="313"/>
      <c r="F31" s="313"/>
      <c r="G31" s="313"/>
      <c r="H31" s="313"/>
    </row>
    <row r="32" spans="1:8" x14ac:dyDescent="0.2">
      <c r="A32" s="292" t="s">
        <v>362</v>
      </c>
      <c r="B32" s="292">
        <v>40</v>
      </c>
      <c r="C32" s="313">
        <v>560</v>
      </c>
      <c r="D32" s="313">
        <f t="shared" si="0"/>
        <v>22400</v>
      </c>
      <c r="E32" s="313"/>
      <c r="F32" s="313"/>
      <c r="G32" s="313"/>
      <c r="H32" s="313"/>
    </row>
    <row r="33" spans="1:8" x14ac:dyDescent="0.2">
      <c r="A33" s="292" t="s">
        <v>369</v>
      </c>
      <c r="B33" s="292">
        <v>25</v>
      </c>
      <c r="C33" s="313">
        <v>700</v>
      </c>
      <c r="D33" s="313">
        <f t="shared" si="0"/>
        <v>17500</v>
      </c>
      <c r="E33" s="313"/>
      <c r="F33" s="313"/>
      <c r="G33" s="313"/>
      <c r="H33" s="313"/>
    </row>
    <row r="34" spans="1:8" x14ac:dyDescent="0.2">
      <c r="A34" s="292" t="s">
        <v>361</v>
      </c>
      <c r="B34" s="292">
        <v>30</v>
      </c>
      <c r="C34" s="313">
        <v>540</v>
      </c>
      <c r="D34" s="313">
        <f t="shared" si="0"/>
        <v>16200</v>
      </c>
      <c r="E34" s="313"/>
      <c r="F34" s="313"/>
      <c r="G34" s="313"/>
      <c r="H34" s="313"/>
    </row>
    <row r="35" spans="1:8" x14ac:dyDescent="0.2">
      <c r="A35" s="292" t="s">
        <v>360</v>
      </c>
      <c r="B35" s="292">
        <v>20</v>
      </c>
      <c r="C35" s="313">
        <v>520</v>
      </c>
      <c r="D35" s="313">
        <f t="shared" si="0"/>
        <v>10400</v>
      </c>
      <c r="E35" s="313"/>
      <c r="F35" s="313"/>
      <c r="G35" s="313"/>
      <c r="H35" s="313"/>
    </row>
    <row r="36" spans="1:8" x14ac:dyDescent="0.2">
      <c r="A36" s="292" t="s">
        <v>359</v>
      </c>
      <c r="B36" s="292">
        <v>10</v>
      </c>
      <c r="C36" s="313">
        <v>500</v>
      </c>
      <c r="D36" s="313">
        <f>C36*B36</f>
        <v>5000</v>
      </c>
      <c r="E36" s="313"/>
      <c r="F36" s="313"/>
      <c r="G36" s="313"/>
      <c r="H36" s="313"/>
    </row>
    <row r="37" spans="1:8" x14ac:dyDescent="0.2">
      <c r="C37" s="313"/>
      <c r="D37" s="313">
        <f>SUM(D2:D36)</f>
        <v>13656000</v>
      </c>
      <c r="E37" s="313"/>
      <c r="F37" s="313"/>
      <c r="G37" s="313"/>
      <c r="H37" s="313"/>
    </row>
    <row r="38" spans="1:8" x14ac:dyDescent="0.2">
      <c r="C38" s="313"/>
      <c r="D38" s="313"/>
      <c r="E38" s="313"/>
      <c r="F38" s="313"/>
      <c r="G38" s="313"/>
      <c r="H38" s="313"/>
    </row>
  </sheetData>
  <phoneticPr fontId="3" type="noConversion"/>
  <pageMargins left="0.75" right="0.75" top="1" bottom="1" header="0.5" footer="0.5"/>
  <headerFooter alignWithMargins="0"/>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D11" sqref="D11"/>
    </sheetView>
  </sheetViews>
  <sheetFormatPr defaultRowHeight="12.75" x14ac:dyDescent="0.2"/>
  <cols>
    <col min="1" max="1" width="14.85546875" customWidth="1"/>
    <col min="2" max="2" width="18.85546875" customWidth="1"/>
    <col min="3" max="3" width="15.140625" customWidth="1"/>
    <col min="4" max="4" width="13.140625" customWidth="1"/>
  </cols>
  <sheetData>
    <row r="1" spans="1:4" x14ac:dyDescent="0.2">
      <c r="A1" s="288" t="s">
        <v>309</v>
      </c>
    </row>
    <row r="2" spans="1:4" x14ac:dyDescent="0.2">
      <c r="A2" s="289" t="s">
        <v>310</v>
      </c>
    </row>
    <row r="3" spans="1:4" x14ac:dyDescent="0.2">
      <c r="A3" t="s">
        <v>311</v>
      </c>
    </row>
    <row r="4" spans="1:4" x14ac:dyDescent="0.2">
      <c r="A4" t="s">
        <v>312</v>
      </c>
    </row>
    <row r="5" spans="1:4" x14ac:dyDescent="0.2">
      <c r="A5" t="s">
        <v>313</v>
      </c>
    </row>
    <row r="6" spans="1:4" x14ac:dyDescent="0.2">
      <c r="A6" t="s">
        <v>314</v>
      </c>
      <c r="B6" s="290">
        <v>35338</v>
      </c>
    </row>
    <row r="8" spans="1:4" x14ac:dyDescent="0.2">
      <c r="A8" s="291" t="s">
        <v>315</v>
      </c>
      <c r="B8" s="291" t="s">
        <v>316</v>
      </c>
      <c r="C8" s="291" t="s">
        <v>317</v>
      </c>
      <c r="D8" s="291" t="s">
        <v>318</v>
      </c>
    </row>
    <row r="9" spans="1:4" x14ac:dyDescent="0.2">
      <c r="A9" s="292" t="s">
        <v>319</v>
      </c>
      <c r="B9" s="290">
        <v>35076</v>
      </c>
      <c r="C9" s="293">
        <v>100000</v>
      </c>
      <c r="D9" s="294">
        <f>$B$6-B9</f>
        <v>262</v>
      </c>
    </row>
    <row r="10" spans="1:4" x14ac:dyDescent="0.2">
      <c r="A10" s="292" t="s">
        <v>320</v>
      </c>
      <c r="B10" s="290">
        <v>35228</v>
      </c>
      <c r="C10" s="293">
        <v>200000</v>
      </c>
      <c r="D10" s="294">
        <f>$B$6-B10</f>
        <v>110</v>
      </c>
    </row>
    <row r="11" spans="1:4" x14ac:dyDescent="0.2">
      <c r="A11" s="292" t="s">
        <v>321</v>
      </c>
      <c r="B11" s="290">
        <v>35258</v>
      </c>
      <c r="C11" s="293">
        <v>300000</v>
      </c>
      <c r="D11" s="294">
        <f>$B$6-B11</f>
        <v>80</v>
      </c>
    </row>
    <row r="12" spans="1:4" x14ac:dyDescent="0.2">
      <c r="A12" s="292" t="s">
        <v>322</v>
      </c>
      <c r="B12" s="290">
        <v>35289</v>
      </c>
      <c r="C12" s="293">
        <v>500000</v>
      </c>
      <c r="D12" s="294">
        <f>$B$6-B12</f>
        <v>49</v>
      </c>
    </row>
    <row r="13" spans="1:4" x14ac:dyDescent="0.2">
      <c r="A13" s="295" t="s">
        <v>45</v>
      </c>
      <c r="B13" s="292"/>
      <c r="C13" s="293">
        <f>SUM(C9:C12)</f>
        <v>1100000</v>
      </c>
      <c r="D13" s="292"/>
    </row>
    <row r="14" spans="1:4" x14ac:dyDescent="0.2">
      <c r="A14" t="s">
        <v>323</v>
      </c>
    </row>
    <row r="15" spans="1:4" x14ac:dyDescent="0.2">
      <c r="A15" s="296" t="s">
        <v>324</v>
      </c>
    </row>
    <row r="16" spans="1:4" x14ac:dyDescent="0.2">
      <c r="A16" s="295" t="s">
        <v>318</v>
      </c>
      <c r="B16" s="295" t="s">
        <v>317</v>
      </c>
      <c r="C16" s="295" t="s">
        <v>325</v>
      </c>
    </row>
    <row r="17" spans="1:3" x14ac:dyDescent="0.2">
      <c r="A17" s="297" t="s">
        <v>326</v>
      </c>
      <c r="B17" s="292">
        <v>0</v>
      </c>
      <c r="C17" s="298">
        <f>B17/$B$21</f>
        <v>0</v>
      </c>
    </row>
    <row r="18" spans="1:3" x14ac:dyDescent="0.2">
      <c r="A18" s="292" t="s">
        <v>327</v>
      </c>
      <c r="B18" s="293">
        <f>C12</f>
        <v>500000</v>
      </c>
      <c r="C18" s="298">
        <f>B18/$B$21</f>
        <v>0.45454545454545453</v>
      </c>
    </row>
    <row r="19" spans="1:3" x14ac:dyDescent="0.2">
      <c r="A19" s="292" t="s">
        <v>328</v>
      </c>
      <c r="B19" s="293">
        <f>C11</f>
        <v>300000</v>
      </c>
      <c r="C19" s="298">
        <f>B19/$B$21</f>
        <v>0.27272727272727271</v>
      </c>
    </row>
    <row r="20" spans="1:3" x14ac:dyDescent="0.2">
      <c r="A20" s="292" t="s">
        <v>329</v>
      </c>
      <c r="B20" s="293">
        <f>C10+C9</f>
        <v>300000</v>
      </c>
      <c r="C20" s="298">
        <f>B20/$B$21</f>
        <v>0.27272727272727271</v>
      </c>
    </row>
    <row r="21" spans="1:3" x14ac:dyDescent="0.2">
      <c r="A21" s="295" t="s">
        <v>45</v>
      </c>
      <c r="B21" s="293">
        <f>SUM(B17:B20)</f>
        <v>1100000</v>
      </c>
      <c r="C21" s="299">
        <f>SUM(C17:C20)</f>
        <v>1</v>
      </c>
    </row>
    <row r="22" spans="1:3" x14ac:dyDescent="0.2">
      <c r="A22" t="s">
        <v>330</v>
      </c>
    </row>
    <row r="23" spans="1:3" x14ac:dyDescent="0.2">
      <c r="A23" t="s">
        <v>331</v>
      </c>
    </row>
    <row r="24" spans="1:3" x14ac:dyDescent="0.2">
      <c r="A24" s="300" t="s">
        <v>332</v>
      </c>
    </row>
    <row r="25" spans="1:3" x14ac:dyDescent="0.2">
      <c r="A25" t="s">
        <v>314</v>
      </c>
      <c r="B25" s="301">
        <v>37133</v>
      </c>
    </row>
    <row r="26" spans="1:3" x14ac:dyDescent="0.2">
      <c r="A26" t="s">
        <v>333</v>
      </c>
    </row>
    <row r="27" spans="1:3" x14ac:dyDescent="0.2">
      <c r="A27" s="291" t="s">
        <v>315</v>
      </c>
      <c r="B27" s="291" t="s">
        <v>316</v>
      </c>
      <c r="C27" s="291" t="s">
        <v>317</v>
      </c>
    </row>
    <row r="28" spans="1:3" x14ac:dyDescent="0.2">
      <c r="A28" s="292" t="s">
        <v>334</v>
      </c>
      <c r="B28" s="301">
        <v>36901</v>
      </c>
      <c r="C28" s="292">
        <v>100000</v>
      </c>
    </row>
    <row r="29" spans="1:3" x14ac:dyDescent="0.2">
      <c r="A29" s="292" t="s">
        <v>335</v>
      </c>
      <c r="B29" s="301">
        <v>36916</v>
      </c>
      <c r="C29" s="292">
        <v>120000</v>
      </c>
    </row>
    <row r="30" spans="1:3" x14ac:dyDescent="0.2">
      <c r="A30" s="292" t="s">
        <v>336</v>
      </c>
      <c r="B30" s="301">
        <v>36931</v>
      </c>
      <c r="C30" s="292">
        <v>140000</v>
      </c>
    </row>
    <row r="31" spans="1:3" x14ac:dyDescent="0.2">
      <c r="A31" s="292" t="s">
        <v>337</v>
      </c>
      <c r="B31" s="301">
        <v>36946</v>
      </c>
      <c r="C31" s="292">
        <v>160000</v>
      </c>
    </row>
    <row r="32" spans="1:3" x14ac:dyDescent="0.2">
      <c r="A32" s="292" t="s">
        <v>338</v>
      </c>
      <c r="B32" s="301">
        <v>36961</v>
      </c>
      <c r="C32" s="292">
        <v>180000</v>
      </c>
    </row>
    <row r="33" spans="1:3" x14ac:dyDescent="0.2">
      <c r="A33" s="292" t="s">
        <v>339</v>
      </c>
      <c r="B33" s="301">
        <v>36976</v>
      </c>
      <c r="C33" s="292">
        <v>200000</v>
      </c>
    </row>
    <row r="34" spans="1:3" x14ac:dyDescent="0.2">
      <c r="A34" s="292" t="s">
        <v>340</v>
      </c>
      <c r="B34" s="301">
        <v>36991</v>
      </c>
      <c r="C34" s="292">
        <v>220000</v>
      </c>
    </row>
    <row r="35" spans="1:3" x14ac:dyDescent="0.2">
      <c r="A35" s="292" t="s">
        <v>341</v>
      </c>
      <c r="B35" s="301">
        <v>37006</v>
      </c>
      <c r="C35" s="292">
        <v>240000</v>
      </c>
    </row>
    <row r="36" spans="1:3" x14ac:dyDescent="0.2">
      <c r="A36" s="292" t="s">
        <v>342</v>
      </c>
      <c r="B36" s="301">
        <v>37021</v>
      </c>
      <c r="C36" s="292">
        <v>260000</v>
      </c>
    </row>
    <row r="37" spans="1:3" x14ac:dyDescent="0.2">
      <c r="A37" s="292" t="s">
        <v>343</v>
      </c>
      <c r="B37" s="301">
        <v>37036</v>
      </c>
      <c r="C37" s="292">
        <v>280000</v>
      </c>
    </row>
    <row r="38" spans="1:3" x14ac:dyDescent="0.2">
      <c r="A38" s="292" t="s">
        <v>344</v>
      </c>
      <c r="B38" s="301">
        <v>37051</v>
      </c>
      <c r="C38" s="292">
        <v>300000</v>
      </c>
    </row>
    <row r="39" spans="1:3" x14ac:dyDescent="0.2">
      <c r="A39" s="292" t="s">
        <v>345</v>
      </c>
      <c r="B39" s="301">
        <v>37066</v>
      </c>
      <c r="C39" s="292">
        <v>320000</v>
      </c>
    </row>
    <row r="40" spans="1:3" x14ac:dyDescent="0.2">
      <c r="A40" s="292" t="s">
        <v>346</v>
      </c>
      <c r="B40" s="301">
        <v>37081</v>
      </c>
      <c r="C40" s="292">
        <v>340000</v>
      </c>
    </row>
    <row r="41" spans="1:3" x14ac:dyDescent="0.2">
      <c r="A41" s="292" t="s">
        <v>347</v>
      </c>
      <c r="B41" s="301">
        <v>37096</v>
      </c>
      <c r="C41" s="292">
        <v>360000</v>
      </c>
    </row>
    <row r="42" spans="1:3" x14ac:dyDescent="0.2">
      <c r="A42" s="292" t="s">
        <v>348</v>
      </c>
      <c r="B42" s="301">
        <v>37111</v>
      </c>
      <c r="C42" s="292">
        <v>380000</v>
      </c>
    </row>
  </sheetData>
  <phoneticPr fontId="3"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B8" sqref="B8"/>
    </sheetView>
  </sheetViews>
  <sheetFormatPr defaultRowHeight="12.75" x14ac:dyDescent="0.2"/>
  <cols>
    <col min="1" max="1" width="14.85546875" customWidth="1"/>
    <col min="2" max="2" width="18.85546875" customWidth="1"/>
    <col min="3" max="3" width="15.140625" customWidth="1"/>
    <col min="4" max="4" width="13.140625" customWidth="1"/>
    <col min="6" max="6" width="13.140625" bestFit="1" customWidth="1"/>
  </cols>
  <sheetData>
    <row r="1" spans="1:8" x14ac:dyDescent="0.2">
      <c r="A1" s="288" t="s">
        <v>309</v>
      </c>
    </row>
    <row r="2" spans="1:8" ht="13.5" thickBot="1" x14ac:dyDescent="0.25">
      <c r="A2" t="s">
        <v>314</v>
      </c>
      <c r="B2" s="301">
        <v>37133</v>
      </c>
    </row>
    <row r="3" spans="1:8" ht="14.25" thickTop="1" thickBot="1" x14ac:dyDescent="0.25">
      <c r="A3" s="291" t="s">
        <v>315</v>
      </c>
      <c r="B3" s="291" t="s">
        <v>316</v>
      </c>
      <c r="C3" s="291" t="s">
        <v>317</v>
      </c>
      <c r="D3" s="291" t="s">
        <v>318</v>
      </c>
      <c r="E3" s="302" t="s">
        <v>324</v>
      </c>
      <c r="F3" s="303"/>
      <c r="G3" s="303"/>
      <c r="H3" s="303"/>
    </row>
    <row r="4" spans="1:8" ht="14.25" thickTop="1" thickBot="1" x14ac:dyDescent="0.25">
      <c r="A4" s="292" t="s">
        <v>334</v>
      </c>
      <c r="B4" s="301">
        <v>36901</v>
      </c>
      <c r="C4" s="292">
        <v>100000</v>
      </c>
      <c r="D4" s="294">
        <f>$B$2-B4</f>
        <v>232</v>
      </c>
      <c r="E4" s="304" t="s">
        <v>318</v>
      </c>
      <c r="F4" s="304" t="s">
        <v>317</v>
      </c>
      <c r="G4" s="304" t="s">
        <v>325</v>
      </c>
      <c r="H4" s="303"/>
    </row>
    <row r="5" spans="1:8" ht="14.25" thickTop="1" thickBot="1" x14ac:dyDescent="0.25">
      <c r="A5" s="292" t="s">
        <v>335</v>
      </c>
      <c r="B5" s="301">
        <v>36916</v>
      </c>
      <c r="C5" s="292">
        <v>120000</v>
      </c>
      <c r="D5" s="294">
        <f t="shared" ref="D5:D18" si="0">$B$2-B5</f>
        <v>217</v>
      </c>
      <c r="E5" s="305" t="s">
        <v>326</v>
      </c>
      <c r="F5" s="306">
        <f>C18</f>
        <v>380000</v>
      </c>
      <c r="G5" s="307">
        <f>F5/$F$9</f>
        <v>0.10555555555555556</v>
      </c>
      <c r="H5" s="303"/>
    </row>
    <row r="6" spans="1:8" ht="14.25" thickTop="1" thickBot="1" x14ac:dyDescent="0.25">
      <c r="A6" s="292" t="s">
        <v>336</v>
      </c>
      <c r="B6" s="301">
        <v>36931</v>
      </c>
      <c r="C6" s="292">
        <v>140000</v>
      </c>
      <c r="D6" s="294">
        <f t="shared" si="0"/>
        <v>202</v>
      </c>
      <c r="E6" s="308" t="s">
        <v>327</v>
      </c>
      <c r="F6" s="306">
        <f>C17+C16</f>
        <v>700000</v>
      </c>
      <c r="G6" s="307">
        <f>F6/$F$9</f>
        <v>0.19444444444444445</v>
      </c>
      <c r="H6" s="303"/>
    </row>
    <row r="7" spans="1:8" ht="14.25" thickTop="1" thickBot="1" x14ac:dyDescent="0.25">
      <c r="A7" s="292" t="s">
        <v>337</v>
      </c>
      <c r="B7" s="301">
        <v>36946</v>
      </c>
      <c r="C7" s="292">
        <v>160000</v>
      </c>
      <c r="D7" s="294">
        <f t="shared" si="0"/>
        <v>187</v>
      </c>
      <c r="E7" s="308" t="s">
        <v>328</v>
      </c>
      <c r="F7" s="306">
        <f>C15+C14</f>
        <v>620000</v>
      </c>
      <c r="G7" s="307">
        <f>F7/$F$9</f>
        <v>0.17222222222222222</v>
      </c>
      <c r="H7" s="309">
        <f>G7+G8</f>
        <v>0.7</v>
      </c>
    </row>
    <row r="8" spans="1:8" ht="14.25" thickTop="1" thickBot="1" x14ac:dyDescent="0.25">
      <c r="A8" s="292" t="s">
        <v>338</v>
      </c>
      <c r="B8" s="301">
        <v>36961</v>
      </c>
      <c r="C8" s="292">
        <v>180000</v>
      </c>
      <c r="D8" s="294">
        <f t="shared" si="0"/>
        <v>172</v>
      </c>
      <c r="E8" s="308" t="s">
        <v>329</v>
      </c>
      <c r="F8" s="306">
        <f>SUM(C4:C13)</f>
        <v>1900000</v>
      </c>
      <c r="G8" s="307">
        <f>F8/$F$9</f>
        <v>0.52777777777777779</v>
      </c>
      <c r="H8" s="303"/>
    </row>
    <row r="9" spans="1:8" ht="14.25" thickTop="1" thickBot="1" x14ac:dyDescent="0.25">
      <c r="A9" s="292" t="s">
        <v>339</v>
      </c>
      <c r="B9" s="301">
        <v>36976</v>
      </c>
      <c r="C9" s="292">
        <v>200000</v>
      </c>
      <c r="D9" s="294">
        <f t="shared" si="0"/>
        <v>157</v>
      </c>
      <c r="E9" s="304" t="s">
        <v>45</v>
      </c>
      <c r="F9" s="306">
        <f>SUM(F5:F8)</f>
        <v>3600000</v>
      </c>
      <c r="G9" s="310">
        <f>SUM(G5:G8)</f>
        <v>1</v>
      </c>
      <c r="H9" s="303"/>
    </row>
    <row r="10" spans="1:8" ht="14.25" thickTop="1" thickBot="1" x14ac:dyDescent="0.25">
      <c r="A10" s="292" t="s">
        <v>340</v>
      </c>
      <c r="B10" s="301">
        <v>36991</v>
      </c>
      <c r="C10" s="292">
        <v>220000</v>
      </c>
      <c r="D10" s="294">
        <f t="shared" si="0"/>
        <v>142</v>
      </c>
      <c r="E10" s="303"/>
      <c r="F10" s="303"/>
      <c r="G10" s="303"/>
      <c r="H10" s="303"/>
    </row>
    <row r="11" spans="1:8" ht="14.25" thickTop="1" thickBot="1" x14ac:dyDescent="0.25">
      <c r="A11" s="292" t="s">
        <v>341</v>
      </c>
      <c r="B11" s="301">
        <v>37006</v>
      </c>
      <c r="C11" s="292">
        <v>240000</v>
      </c>
      <c r="D11" s="294">
        <f t="shared" si="0"/>
        <v>127</v>
      </c>
      <c r="E11" s="311" t="s">
        <v>349</v>
      </c>
      <c r="F11" s="303"/>
      <c r="G11" s="303"/>
      <c r="H11" s="303"/>
    </row>
    <row r="12" spans="1:8" ht="13.5" thickTop="1" x14ac:dyDescent="0.2">
      <c r="A12" s="292" t="s">
        <v>342</v>
      </c>
      <c r="B12" s="301">
        <v>37021</v>
      </c>
      <c r="C12" s="292">
        <v>260000</v>
      </c>
      <c r="D12" s="294">
        <f t="shared" si="0"/>
        <v>112</v>
      </c>
    </row>
    <row r="13" spans="1:8" x14ac:dyDescent="0.2">
      <c r="A13" s="292" t="s">
        <v>343</v>
      </c>
      <c r="B13" s="301">
        <v>37036</v>
      </c>
      <c r="C13" s="292">
        <v>280000</v>
      </c>
      <c r="D13" s="294">
        <f t="shared" si="0"/>
        <v>97</v>
      </c>
    </row>
    <row r="14" spans="1:8" x14ac:dyDescent="0.2">
      <c r="A14" s="292" t="s">
        <v>344</v>
      </c>
      <c r="B14" s="301">
        <v>37051</v>
      </c>
      <c r="C14" s="292">
        <v>300000</v>
      </c>
      <c r="D14" s="294">
        <f t="shared" si="0"/>
        <v>82</v>
      </c>
    </row>
    <row r="15" spans="1:8" x14ac:dyDescent="0.2">
      <c r="A15" s="292" t="s">
        <v>345</v>
      </c>
      <c r="B15" s="301">
        <v>37066</v>
      </c>
      <c r="C15" s="292">
        <v>320000</v>
      </c>
      <c r="D15" s="294">
        <f t="shared" si="0"/>
        <v>67</v>
      </c>
    </row>
    <row r="16" spans="1:8" x14ac:dyDescent="0.2">
      <c r="A16" s="292" t="s">
        <v>346</v>
      </c>
      <c r="B16" s="301">
        <v>37081</v>
      </c>
      <c r="C16" s="292">
        <v>340000</v>
      </c>
      <c r="D16" s="294">
        <f t="shared" si="0"/>
        <v>52</v>
      </c>
    </row>
    <row r="17" spans="1:4" x14ac:dyDescent="0.2">
      <c r="A17" s="292" t="s">
        <v>347</v>
      </c>
      <c r="B17" s="301">
        <v>37096</v>
      </c>
      <c r="C17" s="292">
        <v>360000</v>
      </c>
      <c r="D17" s="294">
        <f t="shared" si="0"/>
        <v>37</v>
      </c>
    </row>
    <row r="18" spans="1:4" x14ac:dyDescent="0.2">
      <c r="A18" s="292" t="s">
        <v>348</v>
      </c>
      <c r="B18" s="301">
        <v>37111</v>
      </c>
      <c r="C18" s="292">
        <v>380000</v>
      </c>
      <c r="D18" s="294">
        <f t="shared" si="0"/>
        <v>22</v>
      </c>
    </row>
    <row r="19" spans="1:4" x14ac:dyDescent="0.2">
      <c r="B19" t="s">
        <v>350</v>
      </c>
      <c r="C19" s="292">
        <f>SUM(C4:C18)</f>
        <v>3600000</v>
      </c>
      <c r="D19" s="292"/>
    </row>
    <row r="20" spans="1:4" x14ac:dyDescent="0.2">
      <c r="D20" s="292"/>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D29" sqref="D29"/>
    </sheetView>
  </sheetViews>
  <sheetFormatPr defaultRowHeight="12.75" x14ac:dyDescent="0.2"/>
  <cols>
    <col min="1" max="1" width="18.42578125" style="2" customWidth="1"/>
    <col min="2" max="2" width="16.7109375" style="2" customWidth="1"/>
    <col min="3" max="3" width="15.140625" style="2" customWidth="1"/>
    <col min="4" max="4" width="13.28515625" style="2" customWidth="1"/>
    <col min="5" max="5" width="12.5703125" style="2" customWidth="1"/>
    <col min="6" max="6" width="10.85546875" style="2" customWidth="1"/>
    <col min="7" max="16384" width="9.140625" style="2"/>
  </cols>
  <sheetData>
    <row r="1" spans="1:6" ht="14.25" thickTop="1" thickBot="1" x14ac:dyDescent="0.25">
      <c r="A1" s="461" t="s">
        <v>46</v>
      </c>
      <c r="B1" s="462"/>
      <c r="C1" s="463"/>
    </row>
    <row r="2" spans="1:6" ht="50.1" customHeight="1" thickTop="1" x14ac:dyDescent="0.2">
      <c r="A2" s="450" t="s">
        <v>47</v>
      </c>
      <c r="B2" s="451"/>
      <c r="C2" s="451"/>
      <c r="D2" s="451"/>
      <c r="E2" s="451"/>
      <c r="F2" s="451"/>
    </row>
    <row r="3" spans="1:6" ht="24.95" customHeight="1" x14ac:dyDescent="0.2">
      <c r="A3" s="466" t="s">
        <v>50</v>
      </c>
      <c r="B3" s="466"/>
      <c r="C3" s="466"/>
      <c r="D3" s="466"/>
      <c r="E3" s="466"/>
      <c r="F3" s="466"/>
    </row>
    <row r="4" spans="1:6" x14ac:dyDescent="0.2">
      <c r="A4" s="54" t="s">
        <v>35</v>
      </c>
    </row>
    <row r="5" spans="1:6" x14ac:dyDescent="0.2">
      <c r="A5" s="457" t="s">
        <v>36</v>
      </c>
      <c r="B5" s="458"/>
      <c r="C5" s="458"/>
      <c r="D5" s="458"/>
      <c r="E5" s="458"/>
      <c r="F5" s="458"/>
    </row>
    <row r="6" spans="1:6" ht="20.100000000000001" customHeight="1" x14ac:dyDescent="0.2">
      <c r="A6" s="459" t="s">
        <v>60</v>
      </c>
      <c r="B6" s="460"/>
      <c r="C6" s="460"/>
      <c r="D6" s="460"/>
      <c r="E6" s="460"/>
      <c r="F6" s="460"/>
    </row>
    <row r="7" spans="1:6" x14ac:dyDescent="0.2">
      <c r="A7" s="191" t="s">
        <v>34</v>
      </c>
    </row>
    <row r="8" spans="1:6" x14ac:dyDescent="0.2">
      <c r="A8" s="455" t="s">
        <v>51</v>
      </c>
      <c r="B8" s="456"/>
      <c r="C8" s="456"/>
      <c r="D8" s="456"/>
      <c r="E8" s="456"/>
      <c r="F8" s="456"/>
    </row>
    <row r="9" spans="1:6" x14ac:dyDescent="0.2">
      <c r="A9" s="4"/>
      <c r="B9" s="3"/>
      <c r="C9" s="3"/>
      <c r="D9" s="3"/>
      <c r="E9" s="3"/>
      <c r="F9" s="3"/>
    </row>
    <row r="10" spans="1:6" x14ac:dyDescent="0.2">
      <c r="A10" s="452" t="s">
        <v>32</v>
      </c>
      <c r="B10" s="453"/>
      <c r="C10" s="9">
        <v>1997</v>
      </c>
      <c r="D10" s="9">
        <v>1998</v>
      </c>
      <c r="E10" s="10">
        <v>1999</v>
      </c>
    </row>
    <row r="11" spans="1:6" x14ac:dyDescent="0.2">
      <c r="A11" s="454" t="s">
        <v>63</v>
      </c>
      <c r="B11" s="449"/>
      <c r="C11" s="55">
        <f>200*300000</f>
        <v>60000000</v>
      </c>
      <c r="D11" s="55">
        <f>250*300000</f>
        <v>75000000</v>
      </c>
      <c r="E11" s="5">
        <f>300*300000</f>
        <v>90000000</v>
      </c>
    </row>
    <row r="12" spans="1:6" x14ac:dyDescent="0.2">
      <c r="A12" s="448" t="s">
        <v>62</v>
      </c>
      <c r="B12" s="449"/>
      <c r="C12" s="55">
        <f>200*100000</f>
        <v>20000000</v>
      </c>
      <c r="D12" s="55">
        <f>250*100000</f>
        <v>25000000</v>
      </c>
      <c r="E12" s="5">
        <f>300*100000</f>
        <v>30000000</v>
      </c>
    </row>
    <row r="13" spans="1:6" x14ac:dyDescent="0.2">
      <c r="A13" s="448" t="s">
        <v>61</v>
      </c>
      <c r="B13" s="449"/>
      <c r="C13" s="55">
        <f>C11-C12</f>
        <v>40000000</v>
      </c>
      <c r="D13" s="55">
        <f>D11-D12</f>
        <v>50000000</v>
      </c>
      <c r="E13" s="55">
        <f>E11-E12</f>
        <v>60000000</v>
      </c>
    </row>
    <row r="14" spans="1:6" x14ac:dyDescent="0.2">
      <c r="A14" s="448" t="s">
        <v>38</v>
      </c>
      <c r="B14" s="449"/>
      <c r="C14" s="55">
        <v>960000</v>
      </c>
      <c r="D14" s="55">
        <v>960000</v>
      </c>
      <c r="E14" s="55">
        <v>960000</v>
      </c>
    </row>
    <row r="15" spans="1:6" x14ac:dyDescent="0.2">
      <c r="A15" s="448" t="s">
        <v>39</v>
      </c>
      <c r="B15" s="448"/>
      <c r="C15" s="55">
        <v>0</v>
      </c>
      <c r="D15" s="55">
        <v>0</v>
      </c>
      <c r="E15" s="55">
        <v>0</v>
      </c>
    </row>
    <row r="16" spans="1:6" x14ac:dyDescent="0.2">
      <c r="A16" s="467" t="s">
        <v>40</v>
      </c>
      <c r="B16" s="467"/>
      <c r="C16" s="55">
        <v>0</v>
      </c>
      <c r="D16" s="55">
        <v>0</v>
      </c>
      <c r="E16" s="55">
        <v>0</v>
      </c>
    </row>
    <row r="17" spans="1:5" x14ac:dyDescent="0.2">
      <c r="A17" s="454" t="s">
        <v>37</v>
      </c>
      <c r="B17" s="449"/>
      <c r="C17" s="55">
        <f>C13-C14-C15-C16</f>
        <v>39040000</v>
      </c>
      <c r="D17" s="55">
        <f>D13-D14-D15-D16</f>
        <v>49040000</v>
      </c>
      <c r="E17" s="55">
        <f>E13-E14-E15-E16</f>
        <v>59040000</v>
      </c>
    </row>
    <row r="18" spans="1:5" x14ac:dyDescent="0.2">
      <c r="A18" s="6"/>
      <c r="B18" s="7"/>
      <c r="C18" s="7"/>
      <c r="D18" s="7"/>
    </row>
    <row r="19" spans="1:5" x14ac:dyDescent="0.2">
      <c r="A19" s="464" t="s">
        <v>33</v>
      </c>
      <c r="B19" s="465"/>
      <c r="C19" s="465"/>
      <c r="D19" s="465"/>
    </row>
    <row r="20" spans="1:5" x14ac:dyDescent="0.2">
      <c r="A20" s="6" t="s">
        <v>41</v>
      </c>
      <c r="B20" s="11">
        <f>39040000+2000000</f>
        <v>41040000</v>
      </c>
      <c r="C20" s="6" t="s">
        <v>42</v>
      </c>
      <c r="D20" s="11">
        <v>2000000</v>
      </c>
    </row>
    <row r="21" spans="1:5" x14ac:dyDescent="0.2">
      <c r="A21" s="6" t="s">
        <v>43</v>
      </c>
      <c r="B21" s="12">
        <v>0</v>
      </c>
      <c r="C21" s="7" t="s">
        <v>44</v>
      </c>
      <c r="D21" s="12">
        <f>C17</f>
        <v>39040000</v>
      </c>
    </row>
    <row r="22" spans="1:5" x14ac:dyDescent="0.2">
      <c r="A22" s="8" t="s">
        <v>45</v>
      </c>
      <c r="B22" s="13">
        <f>B21+B20</f>
        <v>41040000</v>
      </c>
      <c r="C22" s="8" t="s">
        <v>45</v>
      </c>
      <c r="D22" s="13">
        <f>D21+D20</f>
        <v>41040000</v>
      </c>
    </row>
    <row r="23" spans="1:5" x14ac:dyDescent="0.2">
      <c r="A23" s="464" t="s">
        <v>48</v>
      </c>
      <c r="B23" s="465"/>
      <c r="C23" s="465"/>
      <c r="D23" s="465"/>
    </row>
    <row r="24" spans="1:5" x14ac:dyDescent="0.2">
      <c r="A24" s="6" t="s">
        <v>41</v>
      </c>
      <c r="B24" s="2">
        <f>B20+D17</f>
        <v>90080000</v>
      </c>
      <c r="C24" s="6" t="s">
        <v>42</v>
      </c>
      <c r="D24" s="2">
        <v>2000000</v>
      </c>
    </row>
    <row r="25" spans="1:5" x14ac:dyDescent="0.2">
      <c r="A25" s="6" t="s">
        <v>43</v>
      </c>
      <c r="B25" s="2">
        <v>0</v>
      </c>
      <c r="C25" s="7" t="s">
        <v>44</v>
      </c>
      <c r="D25" s="2">
        <f>D21+D17</f>
        <v>88080000</v>
      </c>
    </row>
    <row r="26" spans="1:5" x14ac:dyDescent="0.2">
      <c r="A26" s="8" t="s">
        <v>45</v>
      </c>
      <c r="B26" s="2">
        <f>B25+B24</f>
        <v>90080000</v>
      </c>
      <c r="C26" s="8" t="s">
        <v>45</v>
      </c>
      <c r="D26" s="2">
        <f>D25+D24</f>
        <v>90080000</v>
      </c>
    </row>
    <row r="27" spans="1:5" x14ac:dyDescent="0.2">
      <c r="A27" s="464" t="s">
        <v>49</v>
      </c>
      <c r="B27" s="465"/>
      <c r="C27" s="465"/>
      <c r="D27" s="465"/>
    </row>
    <row r="28" spans="1:5" x14ac:dyDescent="0.2">
      <c r="A28" s="6" t="s">
        <v>41</v>
      </c>
      <c r="B28" s="2">
        <f>B24+E17</f>
        <v>149120000</v>
      </c>
      <c r="C28" s="6" t="s">
        <v>42</v>
      </c>
      <c r="D28" s="2">
        <v>2000000</v>
      </c>
    </row>
    <row r="29" spans="1:5" x14ac:dyDescent="0.2">
      <c r="A29" s="6" t="s">
        <v>43</v>
      </c>
      <c r="B29" s="2">
        <v>0</v>
      </c>
      <c r="C29" s="7" t="s">
        <v>44</v>
      </c>
      <c r="D29" s="2">
        <f>D25+E17</f>
        <v>147120000</v>
      </c>
    </row>
    <row r="30" spans="1:5" x14ac:dyDescent="0.2">
      <c r="A30" s="8" t="s">
        <v>45</v>
      </c>
      <c r="B30" s="2">
        <f>B29+B28</f>
        <v>149120000</v>
      </c>
      <c r="C30" s="8" t="s">
        <v>45</v>
      </c>
      <c r="D30" s="2">
        <f>D29+D28</f>
        <v>149120000</v>
      </c>
    </row>
  </sheetData>
  <mergeCells count="17">
    <mergeCell ref="A1:C1"/>
    <mergeCell ref="A27:D27"/>
    <mergeCell ref="A3:F3"/>
    <mergeCell ref="A15:B15"/>
    <mergeCell ref="A16:B16"/>
    <mergeCell ref="A17:B17"/>
    <mergeCell ref="A19:D19"/>
    <mergeCell ref="A23:D23"/>
    <mergeCell ref="A12:B12"/>
    <mergeCell ref="A13:B13"/>
    <mergeCell ref="A14:B14"/>
    <mergeCell ref="A2:F2"/>
    <mergeCell ref="A10:B10"/>
    <mergeCell ref="A11:B11"/>
    <mergeCell ref="A8:F8"/>
    <mergeCell ref="A5:F5"/>
    <mergeCell ref="A6:F6"/>
  </mergeCells>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7" workbookViewId="0">
      <selection activeCell="A6" sqref="A6:F6"/>
    </sheetView>
  </sheetViews>
  <sheetFormatPr defaultRowHeight="12.75" x14ac:dyDescent="0.2"/>
  <cols>
    <col min="1" max="1" width="18.42578125" style="2" customWidth="1"/>
    <col min="2" max="2" width="16.7109375" style="2" customWidth="1"/>
    <col min="3" max="3" width="21.42578125" style="2" customWidth="1"/>
    <col min="4" max="4" width="13.28515625" style="2" customWidth="1"/>
    <col min="5" max="5" width="12.5703125" style="2" customWidth="1"/>
    <col min="6" max="6" width="10.85546875" style="2" customWidth="1"/>
    <col min="7" max="16384" width="9.140625" style="2"/>
  </cols>
  <sheetData>
    <row r="1" spans="1:6" x14ac:dyDescent="0.2">
      <c r="A1" s="327" t="s">
        <v>46</v>
      </c>
    </row>
    <row r="2" spans="1:6" ht="50.1" customHeight="1" x14ac:dyDescent="0.2">
      <c r="A2" s="468" t="s">
        <v>406</v>
      </c>
      <c r="B2" s="469"/>
      <c r="C2" s="469"/>
      <c r="D2" s="469"/>
      <c r="E2" s="469"/>
      <c r="F2" s="469"/>
    </row>
    <row r="3" spans="1:6" ht="30" customHeight="1" x14ac:dyDescent="0.2">
      <c r="A3" s="468" t="s">
        <v>407</v>
      </c>
      <c r="B3" s="469"/>
      <c r="C3" s="469"/>
      <c r="D3" s="469"/>
      <c r="E3" s="469"/>
      <c r="F3" s="469"/>
    </row>
    <row r="4" spans="1:6" ht="24.95" customHeight="1" x14ac:dyDescent="0.2">
      <c r="A4" s="468" t="s">
        <v>50</v>
      </c>
      <c r="B4" s="469"/>
      <c r="C4" s="469"/>
      <c r="D4" s="469"/>
      <c r="E4" s="469"/>
      <c r="F4" s="469"/>
    </row>
    <row r="5" spans="1:6" x14ac:dyDescent="0.2">
      <c r="A5" s="329" t="s">
        <v>35</v>
      </c>
    </row>
    <row r="6" spans="1:6" x14ac:dyDescent="0.2">
      <c r="A6" s="470" t="s">
        <v>36</v>
      </c>
      <c r="B6" s="471"/>
      <c r="C6" s="471"/>
      <c r="D6" s="471"/>
      <c r="E6" s="471"/>
      <c r="F6" s="471"/>
    </row>
    <row r="7" spans="1:6" ht="20.100000000000001" customHeight="1" x14ac:dyDescent="0.2">
      <c r="A7" s="472" t="s">
        <v>408</v>
      </c>
      <c r="B7" s="469"/>
      <c r="C7" s="469"/>
      <c r="D7" s="469"/>
      <c r="E7" s="469"/>
      <c r="F7" s="469"/>
    </row>
    <row r="8" spans="1:6" ht="12.75" customHeight="1" x14ac:dyDescent="0.2">
      <c r="A8" s="330"/>
      <c r="B8" s="328"/>
      <c r="C8" s="328"/>
      <c r="D8" s="328"/>
      <c r="E8" s="328"/>
      <c r="F8" s="328"/>
    </row>
    <row r="9" spans="1:6" x14ac:dyDescent="0.2">
      <c r="A9" s="331" t="s">
        <v>34</v>
      </c>
    </row>
    <row r="10" spans="1:6" ht="9" customHeight="1" x14ac:dyDescent="0.2">
      <c r="A10" s="327"/>
    </row>
    <row r="11" spans="1:6" x14ac:dyDescent="0.2">
      <c r="A11" s="473" t="s">
        <v>409</v>
      </c>
      <c r="B11" s="474"/>
      <c r="C11" s="474"/>
    </row>
    <row r="12" spans="1:6" ht="15" customHeight="1" x14ac:dyDescent="0.2">
      <c r="A12" s="475" t="s">
        <v>410</v>
      </c>
      <c r="B12" s="475" t="s">
        <v>411</v>
      </c>
      <c r="C12" s="475" t="s">
        <v>412</v>
      </c>
      <c r="D12" s="476" t="s">
        <v>413</v>
      </c>
      <c r="E12" s="476" t="s">
        <v>414</v>
      </c>
      <c r="F12" s="476" t="s">
        <v>415</v>
      </c>
    </row>
    <row r="13" spans="1:6" ht="12.75" customHeight="1" x14ac:dyDescent="0.2">
      <c r="A13" s="475"/>
      <c r="B13" s="475"/>
      <c r="C13" s="475"/>
      <c r="D13" s="477"/>
      <c r="E13" s="477"/>
      <c r="F13" s="477"/>
    </row>
    <row r="14" spans="1:6" x14ac:dyDescent="0.2">
      <c r="A14" s="332">
        <v>1</v>
      </c>
      <c r="B14" s="332">
        <v>100000</v>
      </c>
      <c r="C14" s="332">
        <v>15000</v>
      </c>
      <c r="D14" s="332">
        <v>30000</v>
      </c>
      <c r="E14" s="332">
        <v>85000</v>
      </c>
      <c r="F14" s="332">
        <v>130000</v>
      </c>
    </row>
    <row r="15" spans="1:6" x14ac:dyDescent="0.2">
      <c r="A15" s="332">
        <v>2</v>
      </c>
      <c r="B15" s="332">
        <v>120000</v>
      </c>
      <c r="C15" s="332">
        <v>18000</v>
      </c>
      <c r="D15" s="332">
        <v>36000</v>
      </c>
      <c r="E15" s="332">
        <v>102000</v>
      </c>
      <c r="F15" s="332">
        <v>156000</v>
      </c>
    </row>
    <row r="16" spans="1:6" x14ac:dyDescent="0.2">
      <c r="A16" s="332" t="s">
        <v>416</v>
      </c>
      <c r="B16" s="332">
        <v>220000</v>
      </c>
      <c r="C16" s="332">
        <v>33000</v>
      </c>
      <c r="D16" s="332">
        <v>66000</v>
      </c>
      <c r="E16" s="332">
        <v>187000</v>
      </c>
      <c r="F16" s="332">
        <v>286000</v>
      </c>
    </row>
    <row r="17" spans="1:6" x14ac:dyDescent="0.2">
      <c r="A17" s="479" t="s">
        <v>417</v>
      </c>
      <c r="B17" s="456"/>
      <c r="C17" s="456"/>
      <c r="D17" s="456"/>
    </row>
    <row r="18" spans="1:6" x14ac:dyDescent="0.2">
      <c r="A18" s="455" t="s">
        <v>418</v>
      </c>
      <c r="B18" s="456"/>
      <c r="C18" s="456"/>
      <c r="D18" s="456"/>
    </row>
    <row r="19" spans="1:6" x14ac:dyDescent="0.2">
      <c r="A19" s="4"/>
      <c r="B19" s="3"/>
      <c r="C19" s="3"/>
      <c r="D19" s="3"/>
    </row>
    <row r="20" spans="1:6" x14ac:dyDescent="0.2">
      <c r="A20" s="473" t="s">
        <v>419</v>
      </c>
      <c r="B20" s="474"/>
      <c r="C20" s="474"/>
      <c r="D20" s="474"/>
      <c r="E20" s="474"/>
      <c r="F20" s="474"/>
    </row>
    <row r="21" spans="1:6" x14ac:dyDescent="0.2">
      <c r="A21" s="4"/>
      <c r="B21" s="3"/>
      <c r="C21" s="3"/>
      <c r="D21" s="3"/>
      <c r="E21" s="3"/>
      <c r="F21" s="3"/>
    </row>
    <row r="22" spans="1:6" ht="12.75" customHeight="1" x14ac:dyDescent="0.2">
      <c r="A22" s="455" t="s">
        <v>32</v>
      </c>
      <c r="B22" s="478"/>
      <c r="C22" s="9">
        <v>1997</v>
      </c>
      <c r="D22" s="9">
        <v>1998</v>
      </c>
      <c r="E22" s="10">
        <v>1999</v>
      </c>
    </row>
    <row r="23" spans="1:6" ht="12.75" customHeight="1" x14ac:dyDescent="0.2">
      <c r="A23" s="454" t="s">
        <v>420</v>
      </c>
      <c r="B23" s="478"/>
      <c r="C23" s="334">
        <v>60000000</v>
      </c>
      <c r="D23" s="334">
        <f>250*300000</f>
        <v>75000000</v>
      </c>
      <c r="E23" s="5">
        <f>300*300000</f>
        <v>90000000</v>
      </c>
    </row>
    <row r="24" spans="1:6" ht="12.75" customHeight="1" x14ac:dyDescent="0.2">
      <c r="A24" s="454" t="s">
        <v>421</v>
      </c>
      <c r="B24" s="478"/>
      <c r="C24" s="334">
        <v>20000000</v>
      </c>
      <c r="D24" s="334">
        <f>250*100000</f>
        <v>25000000</v>
      </c>
      <c r="E24" s="5">
        <f>300*100000</f>
        <v>30000000</v>
      </c>
    </row>
    <row r="25" spans="1:6" ht="12.75" customHeight="1" x14ac:dyDescent="0.2">
      <c r="A25" s="454" t="s">
        <v>422</v>
      </c>
      <c r="B25" s="478"/>
      <c r="C25" s="334">
        <f>C23-C24</f>
        <v>40000000</v>
      </c>
      <c r="D25" s="334">
        <f>D23-D24</f>
        <v>50000000</v>
      </c>
      <c r="E25" s="334">
        <f>E23-E24</f>
        <v>60000000</v>
      </c>
    </row>
    <row r="26" spans="1:6" x14ac:dyDescent="0.2">
      <c r="A26" s="448" t="s">
        <v>423</v>
      </c>
      <c r="B26" s="478"/>
      <c r="C26" s="334">
        <v>960000</v>
      </c>
      <c r="D26" s="334">
        <v>960000</v>
      </c>
      <c r="E26" s="334">
        <v>960000</v>
      </c>
    </row>
    <row r="27" spans="1:6" x14ac:dyDescent="0.2">
      <c r="A27" s="448" t="s">
        <v>424</v>
      </c>
      <c r="B27" s="448"/>
      <c r="C27" s="334">
        <v>4004000</v>
      </c>
      <c r="D27" s="334">
        <v>4004000</v>
      </c>
      <c r="E27" s="334">
        <v>4004000</v>
      </c>
    </row>
    <row r="28" spans="1:6" x14ac:dyDescent="0.2">
      <c r="A28" s="467" t="s">
        <v>425</v>
      </c>
      <c r="B28" s="467"/>
      <c r="C28" s="334">
        <v>0</v>
      </c>
      <c r="D28" s="334">
        <v>0</v>
      </c>
      <c r="E28" s="334">
        <v>0</v>
      </c>
    </row>
    <row r="29" spans="1:6" x14ac:dyDescent="0.2">
      <c r="A29" s="454" t="s">
        <v>426</v>
      </c>
      <c r="B29" s="478"/>
      <c r="C29" s="334">
        <f>C25-C26-C27-C28</f>
        <v>35036000</v>
      </c>
      <c r="D29" s="334">
        <f>D25-D26-D27-D28</f>
        <v>45036000</v>
      </c>
      <c r="E29" s="334">
        <f>E25-E26-E27-E28</f>
        <v>55036000</v>
      </c>
    </row>
    <row r="30" spans="1:6" x14ac:dyDescent="0.2">
      <c r="A30" s="6"/>
      <c r="B30" s="333"/>
      <c r="C30" s="333"/>
      <c r="D30" s="333"/>
    </row>
    <row r="31" spans="1:6" x14ac:dyDescent="0.2">
      <c r="A31" s="6"/>
      <c r="B31" s="333"/>
      <c r="C31" s="333"/>
      <c r="D31" s="333"/>
    </row>
    <row r="32" spans="1:6" ht="12.75" customHeight="1" x14ac:dyDescent="0.2">
      <c r="A32" s="480" t="s">
        <v>427</v>
      </c>
      <c r="B32" s="481"/>
      <c r="C32" s="481"/>
      <c r="D32" s="481"/>
    </row>
    <row r="33" spans="1:4" x14ac:dyDescent="0.2">
      <c r="A33" s="335" t="s">
        <v>41</v>
      </c>
      <c r="B33" s="336">
        <f>2000000+C29</f>
        <v>37036000</v>
      </c>
      <c r="C33" s="335" t="s">
        <v>42</v>
      </c>
      <c r="D33" s="336">
        <v>2000000</v>
      </c>
    </row>
    <row r="34" spans="1:4" x14ac:dyDescent="0.2">
      <c r="A34" s="335" t="s">
        <v>43</v>
      </c>
      <c r="B34" s="334">
        <v>0</v>
      </c>
      <c r="C34" s="337" t="s">
        <v>44</v>
      </c>
      <c r="D34" s="334">
        <f>C29</f>
        <v>35036000</v>
      </c>
    </row>
    <row r="35" spans="1:4" x14ac:dyDescent="0.2">
      <c r="A35" s="338" t="s">
        <v>45</v>
      </c>
      <c r="B35" s="5">
        <f>B34+B33</f>
        <v>37036000</v>
      </c>
      <c r="C35" s="338" t="s">
        <v>45</v>
      </c>
      <c r="D35" s="5">
        <f>D34+D33</f>
        <v>37036000</v>
      </c>
    </row>
    <row r="36" spans="1:4" x14ac:dyDescent="0.2">
      <c r="A36" s="339"/>
      <c r="B36" s="5"/>
      <c r="C36" s="339"/>
      <c r="D36" s="5"/>
    </row>
    <row r="37" spans="1:4" ht="12.75" customHeight="1" x14ac:dyDescent="0.2">
      <c r="A37" s="480" t="s">
        <v>428</v>
      </c>
      <c r="B37" s="481"/>
      <c r="C37" s="481"/>
      <c r="D37" s="481"/>
    </row>
    <row r="38" spans="1:4" x14ac:dyDescent="0.2">
      <c r="A38" s="335" t="s">
        <v>41</v>
      </c>
      <c r="B38" s="334">
        <f>B35+D29</f>
        <v>82072000</v>
      </c>
      <c r="C38" s="335" t="s">
        <v>42</v>
      </c>
      <c r="D38" s="334">
        <v>2000000</v>
      </c>
    </row>
    <row r="39" spans="1:4" x14ac:dyDescent="0.2">
      <c r="A39" s="335" t="s">
        <v>43</v>
      </c>
      <c r="B39" s="5">
        <v>0</v>
      </c>
      <c r="C39" s="337" t="s">
        <v>44</v>
      </c>
      <c r="D39" s="5">
        <f>D34+D29</f>
        <v>80072000</v>
      </c>
    </row>
    <row r="40" spans="1:4" x14ac:dyDescent="0.2">
      <c r="A40" s="338" t="s">
        <v>45</v>
      </c>
      <c r="B40" s="5">
        <f>B39+B38</f>
        <v>82072000</v>
      </c>
      <c r="C40" s="338" t="s">
        <v>45</v>
      </c>
      <c r="D40" s="5">
        <f>D39+D38</f>
        <v>82072000</v>
      </c>
    </row>
    <row r="41" spans="1:4" x14ac:dyDescent="0.2">
      <c r="A41" s="339"/>
      <c r="B41" s="5"/>
      <c r="C41" s="339"/>
      <c r="D41" s="5"/>
    </row>
    <row r="42" spans="1:4" ht="12.75" customHeight="1" x14ac:dyDescent="0.2">
      <c r="A42" s="480" t="s">
        <v>429</v>
      </c>
      <c r="B42" s="481"/>
      <c r="C42" s="481"/>
      <c r="D42" s="481"/>
    </row>
    <row r="43" spans="1:4" x14ac:dyDescent="0.2">
      <c r="A43" s="335" t="s">
        <v>41</v>
      </c>
      <c r="B43" s="5">
        <f>B38+E29</f>
        <v>137108000</v>
      </c>
      <c r="C43" s="6" t="s">
        <v>42</v>
      </c>
      <c r="D43" s="5">
        <v>2000000</v>
      </c>
    </row>
    <row r="44" spans="1:4" x14ac:dyDescent="0.2">
      <c r="A44" s="335" t="s">
        <v>43</v>
      </c>
      <c r="B44" s="5">
        <v>0</v>
      </c>
      <c r="C44" s="333" t="s">
        <v>44</v>
      </c>
      <c r="D44" s="5">
        <f>D39+E29</f>
        <v>135108000</v>
      </c>
    </row>
    <row r="45" spans="1:4" x14ac:dyDescent="0.2">
      <c r="A45" s="338" t="s">
        <v>45</v>
      </c>
      <c r="B45" s="5">
        <f>B44+B43</f>
        <v>137108000</v>
      </c>
      <c r="C45" s="338" t="s">
        <v>45</v>
      </c>
      <c r="D45" s="5">
        <f>D44+D43</f>
        <v>137108000</v>
      </c>
    </row>
  </sheetData>
  <mergeCells count="26">
    <mergeCell ref="A37:D37"/>
    <mergeCell ref="A42:D42"/>
    <mergeCell ref="A27:B27"/>
    <mergeCell ref="A28:B28"/>
    <mergeCell ref="A29:B29"/>
    <mergeCell ref="A32:D32"/>
    <mergeCell ref="A23:B23"/>
    <mergeCell ref="A24:B24"/>
    <mergeCell ref="A25:B25"/>
    <mergeCell ref="A26:B26"/>
    <mergeCell ref="A17:D17"/>
    <mergeCell ref="A18:D18"/>
    <mergeCell ref="A20:F20"/>
    <mergeCell ref="A22:B22"/>
    <mergeCell ref="A12:A13"/>
    <mergeCell ref="B12:B13"/>
    <mergeCell ref="C12:C13"/>
    <mergeCell ref="D12:D13"/>
    <mergeCell ref="E12:E13"/>
    <mergeCell ref="F12:F13"/>
    <mergeCell ref="A2:F2"/>
    <mergeCell ref="A3:F3"/>
    <mergeCell ref="A4:F4"/>
    <mergeCell ref="A6:F6"/>
    <mergeCell ref="A7:F7"/>
    <mergeCell ref="A11:C11"/>
  </mergeCells>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31" workbookViewId="0">
      <selection activeCell="A3" sqref="A3:F3"/>
    </sheetView>
  </sheetViews>
  <sheetFormatPr defaultRowHeight="12.75" x14ac:dyDescent="0.2"/>
  <cols>
    <col min="1" max="1" width="18.42578125" style="2" customWidth="1"/>
    <col min="2" max="2" width="16.7109375" style="2" customWidth="1"/>
    <col min="3" max="3" width="21.42578125" style="2" customWidth="1"/>
    <col min="4" max="4" width="13.28515625" style="2" customWidth="1"/>
    <col min="5" max="5" width="12.5703125" style="2" customWidth="1"/>
    <col min="6" max="6" width="10.85546875" style="2" customWidth="1"/>
    <col min="7" max="16384" width="9.140625" style="2"/>
  </cols>
  <sheetData>
    <row r="1" spans="1:6" x14ac:dyDescent="0.2">
      <c r="A1" s="327" t="s">
        <v>46</v>
      </c>
    </row>
    <row r="2" spans="1:6" ht="50.1" customHeight="1" x14ac:dyDescent="0.2">
      <c r="A2" s="468" t="s">
        <v>47</v>
      </c>
      <c r="B2" s="469"/>
      <c r="C2" s="469"/>
      <c r="D2" s="469"/>
      <c r="E2" s="469"/>
      <c r="F2" s="469"/>
    </row>
    <row r="3" spans="1:6" ht="30" customHeight="1" x14ac:dyDescent="0.2">
      <c r="A3" s="468" t="s">
        <v>407</v>
      </c>
      <c r="B3" s="469"/>
      <c r="C3" s="469"/>
      <c r="D3" s="469"/>
      <c r="E3" s="469"/>
      <c r="F3" s="469"/>
    </row>
    <row r="4" spans="1:6" ht="30" customHeight="1" x14ac:dyDescent="0.2">
      <c r="A4" s="468" t="s">
        <v>430</v>
      </c>
      <c r="B4" s="469"/>
      <c r="C4" s="469"/>
      <c r="D4" s="469"/>
      <c r="E4" s="469"/>
      <c r="F4" s="469"/>
    </row>
    <row r="5" spans="1:6" ht="24.95" customHeight="1" x14ac:dyDescent="0.2">
      <c r="A5" s="468" t="s">
        <v>431</v>
      </c>
      <c r="B5" s="469"/>
      <c r="C5" s="469"/>
      <c r="D5" s="469"/>
      <c r="E5" s="469"/>
      <c r="F5" s="469"/>
    </row>
    <row r="6" spans="1:6" x14ac:dyDescent="0.2">
      <c r="A6" s="329" t="s">
        <v>35</v>
      </c>
    </row>
    <row r="7" spans="1:6" x14ac:dyDescent="0.2">
      <c r="A7" s="470" t="s">
        <v>36</v>
      </c>
      <c r="B7" s="471"/>
      <c r="C7" s="471"/>
      <c r="D7" s="471"/>
      <c r="E7" s="471"/>
      <c r="F7" s="471"/>
    </row>
    <row r="8" spans="1:6" ht="20.100000000000001" customHeight="1" x14ac:dyDescent="0.2">
      <c r="A8" s="472" t="s">
        <v>408</v>
      </c>
      <c r="B8" s="469"/>
      <c r="C8" s="469"/>
      <c r="D8" s="469"/>
      <c r="E8" s="469"/>
      <c r="F8" s="469"/>
    </row>
    <row r="9" spans="1:6" ht="20.100000000000001" customHeight="1" x14ac:dyDescent="0.2">
      <c r="A9" s="330"/>
      <c r="B9" s="328"/>
      <c r="C9" s="328"/>
      <c r="D9" s="328"/>
      <c r="E9" s="328"/>
      <c r="F9" s="328"/>
    </row>
    <row r="10" spans="1:6" x14ac:dyDescent="0.2">
      <c r="A10" s="331" t="s">
        <v>34</v>
      </c>
    </row>
    <row r="11" spans="1:6" x14ac:dyDescent="0.2">
      <c r="A11" s="340"/>
    </row>
    <row r="12" spans="1:6" x14ac:dyDescent="0.2">
      <c r="A12" s="473" t="s">
        <v>409</v>
      </c>
      <c r="B12" s="474"/>
      <c r="C12" s="474"/>
    </row>
    <row r="13" spans="1:6" ht="33" customHeight="1" x14ac:dyDescent="0.2">
      <c r="A13" s="475" t="s">
        <v>410</v>
      </c>
      <c r="B13" s="475" t="s">
        <v>411</v>
      </c>
      <c r="C13" s="475" t="s">
        <v>412</v>
      </c>
      <c r="D13" s="476" t="s">
        <v>413</v>
      </c>
      <c r="E13" s="476" t="s">
        <v>414</v>
      </c>
      <c r="F13" s="476" t="s">
        <v>415</v>
      </c>
    </row>
    <row r="14" spans="1:6" ht="12.75" customHeight="1" x14ac:dyDescent="0.2">
      <c r="A14" s="475"/>
      <c r="B14" s="475"/>
      <c r="C14" s="475"/>
      <c r="D14" s="477"/>
      <c r="E14" s="477"/>
      <c r="F14" s="477"/>
    </row>
    <row r="15" spans="1:6" x14ac:dyDescent="0.2">
      <c r="A15" s="332">
        <v>1</v>
      </c>
      <c r="B15" s="332">
        <v>100000</v>
      </c>
      <c r="C15" s="332">
        <v>15000</v>
      </c>
      <c r="D15" s="332">
        <v>30000</v>
      </c>
      <c r="E15" s="332">
        <v>85000</v>
      </c>
      <c r="F15" s="332">
        <v>130000</v>
      </c>
    </row>
    <row r="16" spans="1:6" x14ac:dyDescent="0.2">
      <c r="A16" s="332">
        <v>2</v>
      </c>
      <c r="B16" s="332">
        <v>120000</v>
      </c>
      <c r="C16" s="332">
        <v>18000</v>
      </c>
      <c r="D16" s="332">
        <v>36000</v>
      </c>
      <c r="E16" s="332">
        <v>102000</v>
      </c>
      <c r="F16" s="332">
        <v>156000</v>
      </c>
    </row>
    <row r="17" spans="1:6" x14ac:dyDescent="0.2">
      <c r="A17" s="332" t="s">
        <v>416</v>
      </c>
      <c r="B17" s="332">
        <v>220000</v>
      </c>
      <c r="C17" s="332">
        <v>33000</v>
      </c>
      <c r="D17" s="332">
        <v>66000</v>
      </c>
      <c r="E17" s="332">
        <v>187000</v>
      </c>
      <c r="F17" s="332">
        <v>286000</v>
      </c>
    </row>
    <row r="18" spans="1:6" x14ac:dyDescent="0.2">
      <c r="A18" s="479" t="s">
        <v>417</v>
      </c>
      <c r="B18" s="456"/>
      <c r="C18" s="456"/>
      <c r="D18" s="456"/>
    </row>
    <row r="19" spans="1:6" ht="12.75" customHeight="1" x14ac:dyDescent="0.2">
      <c r="A19" s="455" t="s">
        <v>418</v>
      </c>
      <c r="B19" s="456"/>
      <c r="C19" s="456"/>
      <c r="D19" s="456"/>
    </row>
    <row r="20" spans="1:6" x14ac:dyDescent="0.2">
      <c r="A20" s="4"/>
      <c r="B20" s="3"/>
      <c r="C20" s="3"/>
      <c r="D20" s="3"/>
    </row>
    <row r="21" spans="1:6" x14ac:dyDescent="0.2">
      <c r="A21" s="473" t="s">
        <v>419</v>
      </c>
      <c r="B21" s="474"/>
      <c r="C21" s="474"/>
      <c r="D21" s="474"/>
      <c r="E21" s="474"/>
      <c r="F21" s="474"/>
    </row>
    <row r="22" spans="1:6" x14ac:dyDescent="0.2">
      <c r="A22" s="4"/>
      <c r="B22" s="3"/>
      <c r="C22" s="3"/>
      <c r="D22" s="3"/>
      <c r="E22" s="3"/>
      <c r="F22" s="3"/>
    </row>
    <row r="23" spans="1:6" x14ac:dyDescent="0.2">
      <c r="A23" s="473" t="s">
        <v>432</v>
      </c>
      <c r="B23" s="474"/>
      <c r="C23" s="474"/>
      <c r="D23" s="474"/>
    </row>
    <row r="24" spans="1:6" x14ac:dyDescent="0.2">
      <c r="A24" s="455" t="s">
        <v>433</v>
      </c>
      <c r="B24" s="456"/>
      <c r="C24" s="456"/>
      <c r="D24" s="456"/>
    </row>
    <row r="25" spans="1:6" x14ac:dyDescent="0.2">
      <c r="A25" s="341" t="s">
        <v>434</v>
      </c>
      <c r="B25" s="341" t="s">
        <v>435</v>
      </c>
      <c r="C25" s="341" t="s">
        <v>436</v>
      </c>
      <c r="D25" s="341" t="s">
        <v>437</v>
      </c>
      <c r="E25" s="341" t="s">
        <v>438</v>
      </c>
    </row>
    <row r="26" spans="1:6" x14ac:dyDescent="0.2">
      <c r="A26" s="342" t="s">
        <v>439</v>
      </c>
      <c r="B26" s="332">
        <v>1000000</v>
      </c>
      <c r="C26" s="343">
        <v>35471</v>
      </c>
      <c r="D26" s="332">
        <v>183333</v>
      </c>
      <c r="E26" s="332">
        <f>B26-D26</f>
        <v>816667</v>
      </c>
    </row>
    <row r="27" spans="1:6" x14ac:dyDescent="0.2">
      <c r="A27" s="342" t="s">
        <v>440</v>
      </c>
      <c r="B27" s="332">
        <v>3000000</v>
      </c>
      <c r="C27" s="343">
        <v>35570</v>
      </c>
      <c r="D27" s="332">
        <v>210000</v>
      </c>
      <c r="E27" s="332">
        <f>B27-D27</f>
        <v>2790000</v>
      </c>
    </row>
    <row r="28" spans="1:6" x14ac:dyDescent="0.2">
      <c r="A28" s="344" t="s">
        <v>45</v>
      </c>
      <c r="B28" s="5">
        <f>SUM(B26:B27)</f>
        <v>4000000</v>
      </c>
      <c r="D28" s="345">
        <f>D27+D26</f>
        <v>393333</v>
      </c>
      <c r="E28" s="345">
        <f>E27+E26</f>
        <v>3606667</v>
      </c>
    </row>
    <row r="29" spans="1:6" x14ac:dyDescent="0.2">
      <c r="A29" s="455" t="s">
        <v>441</v>
      </c>
      <c r="B29" s="456"/>
      <c r="C29" s="456"/>
      <c r="D29" s="456"/>
    </row>
    <row r="30" spans="1:6" x14ac:dyDescent="0.2">
      <c r="A30" s="341" t="s">
        <v>434</v>
      </c>
      <c r="B30" s="341" t="s">
        <v>435</v>
      </c>
      <c r="C30" s="341" t="s">
        <v>442</v>
      </c>
      <c r="D30" s="341" t="s">
        <v>437</v>
      </c>
      <c r="E30" s="341" t="s">
        <v>438</v>
      </c>
    </row>
    <row r="31" spans="1:6" x14ac:dyDescent="0.2">
      <c r="A31" s="342" t="s">
        <v>439</v>
      </c>
      <c r="B31" s="332">
        <v>1000000</v>
      </c>
      <c r="C31" s="346">
        <v>0.2</v>
      </c>
      <c r="D31" s="332">
        <v>200000</v>
      </c>
      <c r="E31" s="332">
        <v>616667</v>
      </c>
    </row>
    <row r="32" spans="1:6" x14ac:dyDescent="0.2">
      <c r="A32" s="342" t="s">
        <v>440</v>
      </c>
      <c r="B32" s="332">
        <v>3000000</v>
      </c>
      <c r="C32" s="346">
        <v>0.12</v>
      </c>
      <c r="D32" s="332">
        <v>360000</v>
      </c>
      <c r="E32" s="332">
        <v>2430000</v>
      </c>
    </row>
    <row r="33" spans="1:5" x14ac:dyDescent="0.2">
      <c r="A33" s="344" t="s">
        <v>45</v>
      </c>
      <c r="B33" s="5">
        <f>SUM(B31:B32)</f>
        <v>4000000</v>
      </c>
      <c r="C33" s="5"/>
      <c r="D33" s="5">
        <v>560000</v>
      </c>
      <c r="E33" s="5">
        <v>3046667</v>
      </c>
    </row>
    <row r="34" spans="1:5" x14ac:dyDescent="0.2">
      <c r="A34" s="455" t="s">
        <v>443</v>
      </c>
      <c r="B34" s="456"/>
      <c r="C34" s="456"/>
      <c r="D34" s="456"/>
    </row>
    <row r="35" spans="1:5" x14ac:dyDescent="0.2">
      <c r="A35" s="341" t="s">
        <v>434</v>
      </c>
      <c r="B35" s="341" t="s">
        <v>444</v>
      </c>
      <c r="C35" s="341" t="s">
        <v>445</v>
      </c>
      <c r="D35" s="341" t="s">
        <v>437</v>
      </c>
      <c r="E35" s="341" t="s">
        <v>438</v>
      </c>
    </row>
    <row r="36" spans="1:5" x14ac:dyDescent="0.2">
      <c r="A36" s="342" t="s">
        <v>439</v>
      </c>
      <c r="B36" s="332">
        <v>1000000</v>
      </c>
      <c r="C36" s="346">
        <v>0.2</v>
      </c>
      <c r="D36" s="332">
        <v>200000</v>
      </c>
      <c r="E36" s="332">
        <v>416667</v>
      </c>
    </row>
    <row r="37" spans="1:5" x14ac:dyDescent="0.2">
      <c r="A37" s="342" t="s">
        <v>440</v>
      </c>
      <c r="B37" s="332">
        <v>3000000</v>
      </c>
      <c r="C37" s="346">
        <v>0.12</v>
      </c>
      <c r="D37" s="332">
        <v>360000</v>
      </c>
      <c r="E37" s="332">
        <v>2070000</v>
      </c>
    </row>
    <row r="38" spans="1:5" x14ac:dyDescent="0.2">
      <c r="A38" s="344" t="s">
        <v>45</v>
      </c>
      <c r="D38" s="345">
        <v>560000</v>
      </c>
      <c r="E38" s="345">
        <v>2486667</v>
      </c>
    </row>
    <row r="39" spans="1:5" x14ac:dyDescent="0.2">
      <c r="A39" s="344"/>
      <c r="B39" s="5"/>
      <c r="C39" s="5"/>
      <c r="D39" s="5"/>
      <c r="E39" s="5"/>
    </row>
    <row r="40" spans="1:5" x14ac:dyDescent="0.2">
      <c r="A40" s="344"/>
    </row>
    <row r="41" spans="1:5" ht="12.75" customHeight="1" x14ac:dyDescent="0.2">
      <c r="A41" s="455" t="s">
        <v>32</v>
      </c>
      <c r="B41" s="478"/>
      <c r="C41" s="9">
        <v>1997</v>
      </c>
      <c r="D41" s="9">
        <v>1998</v>
      </c>
      <c r="E41" s="10">
        <v>1999</v>
      </c>
    </row>
    <row r="42" spans="1:5" ht="12.75" customHeight="1" x14ac:dyDescent="0.2">
      <c r="A42" s="454" t="s">
        <v>420</v>
      </c>
      <c r="B42" s="478"/>
      <c r="C42" s="334">
        <v>60000000</v>
      </c>
      <c r="D42" s="334">
        <f>250*300000</f>
        <v>75000000</v>
      </c>
      <c r="E42" s="5">
        <f>300*300000</f>
        <v>90000000</v>
      </c>
    </row>
    <row r="43" spans="1:5" ht="12.75" customHeight="1" x14ac:dyDescent="0.2">
      <c r="A43" s="454" t="s">
        <v>421</v>
      </c>
      <c r="B43" s="478"/>
      <c r="C43" s="334">
        <v>20000000</v>
      </c>
      <c r="D43" s="334">
        <f>250*100000</f>
        <v>25000000</v>
      </c>
      <c r="E43" s="5">
        <f>300*100000</f>
        <v>30000000</v>
      </c>
    </row>
    <row r="44" spans="1:5" ht="12.75" customHeight="1" x14ac:dyDescent="0.2">
      <c r="A44" s="454" t="s">
        <v>422</v>
      </c>
      <c r="B44" s="478"/>
      <c r="C44" s="334">
        <f>C42-C43</f>
        <v>40000000</v>
      </c>
      <c r="D44" s="334">
        <f>D42-D43</f>
        <v>50000000</v>
      </c>
      <c r="E44" s="334">
        <f>E42-E43</f>
        <v>60000000</v>
      </c>
    </row>
    <row r="45" spans="1:5" x14ac:dyDescent="0.2">
      <c r="A45" s="448" t="s">
        <v>423</v>
      </c>
      <c r="B45" s="478"/>
      <c r="C45" s="334">
        <v>960000</v>
      </c>
      <c r="D45" s="334">
        <v>960000</v>
      </c>
      <c r="E45" s="334">
        <v>960000</v>
      </c>
    </row>
    <row r="46" spans="1:5" x14ac:dyDescent="0.2">
      <c r="A46" s="448" t="s">
        <v>424</v>
      </c>
      <c r="B46" s="448"/>
      <c r="C46" s="334">
        <v>4004000</v>
      </c>
      <c r="D46" s="334">
        <v>4004000</v>
      </c>
      <c r="E46" s="334">
        <v>4004000</v>
      </c>
    </row>
    <row r="47" spans="1:5" x14ac:dyDescent="0.2">
      <c r="A47" s="467" t="s">
        <v>425</v>
      </c>
      <c r="B47" s="467"/>
      <c r="C47" s="334">
        <v>393333</v>
      </c>
      <c r="D47" s="334">
        <v>560000</v>
      </c>
      <c r="E47" s="334">
        <v>560000</v>
      </c>
    </row>
    <row r="48" spans="1:5" x14ac:dyDescent="0.2">
      <c r="A48" s="454" t="s">
        <v>426</v>
      </c>
      <c r="B48" s="478"/>
      <c r="C48" s="334">
        <f>C44-C45-C46-C47</f>
        <v>34642667</v>
      </c>
      <c r="D48" s="334">
        <f>D44-D45-D46-D47</f>
        <v>44476000</v>
      </c>
      <c r="E48" s="334">
        <f>E44-E45-E46-E47</f>
        <v>54476000</v>
      </c>
    </row>
    <row r="49" spans="1:4" x14ac:dyDescent="0.2">
      <c r="A49" s="6"/>
      <c r="B49" s="333"/>
      <c r="C49" s="334"/>
      <c r="D49" s="333"/>
    </row>
    <row r="50" spans="1:4" ht="12.75" customHeight="1" x14ac:dyDescent="0.2">
      <c r="A50" s="480" t="s">
        <v>427</v>
      </c>
      <c r="B50" s="481"/>
      <c r="C50" s="481"/>
      <c r="D50" s="481"/>
    </row>
    <row r="51" spans="1:4" x14ac:dyDescent="0.2">
      <c r="A51" s="335" t="s">
        <v>41</v>
      </c>
      <c r="B51" s="336">
        <f>C48+C47+2000000-4000000</f>
        <v>33036000</v>
      </c>
      <c r="C51" s="335" t="s">
        <v>42</v>
      </c>
      <c r="D51" s="336">
        <v>2000000</v>
      </c>
    </row>
    <row r="52" spans="1:4" x14ac:dyDescent="0.2">
      <c r="A52" s="335" t="s">
        <v>43</v>
      </c>
      <c r="B52" s="334">
        <v>3606667</v>
      </c>
      <c r="C52" s="337" t="s">
        <v>44</v>
      </c>
      <c r="D52" s="334">
        <v>34642667</v>
      </c>
    </row>
    <row r="53" spans="1:4" x14ac:dyDescent="0.2">
      <c r="A53" s="338" t="s">
        <v>45</v>
      </c>
      <c r="B53" s="5">
        <f>B52+B51</f>
        <v>36642667</v>
      </c>
      <c r="C53" s="338" t="s">
        <v>45</v>
      </c>
      <c r="D53" s="5">
        <f>D52+D51</f>
        <v>36642667</v>
      </c>
    </row>
    <row r="54" spans="1:4" x14ac:dyDescent="0.2">
      <c r="A54" s="339"/>
      <c r="B54" s="5"/>
      <c r="C54" s="339"/>
      <c r="D54" s="5"/>
    </row>
    <row r="55" spans="1:4" ht="12.75" customHeight="1" x14ac:dyDescent="0.2">
      <c r="A55" s="480" t="s">
        <v>428</v>
      </c>
      <c r="B55" s="481"/>
      <c r="C55" s="481"/>
      <c r="D55" s="481"/>
    </row>
    <row r="56" spans="1:4" x14ac:dyDescent="0.2">
      <c r="A56" s="335" t="s">
        <v>41</v>
      </c>
      <c r="B56" s="5">
        <f>B51+D48+D47</f>
        <v>78072000</v>
      </c>
      <c r="C56" s="335" t="s">
        <v>42</v>
      </c>
      <c r="D56" s="336">
        <v>2000000</v>
      </c>
    </row>
    <row r="57" spans="1:4" x14ac:dyDescent="0.2">
      <c r="A57" s="335" t="s">
        <v>43</v>
      </c>
      <c r="B57" s="5">
        <f>E33</f>
        <v>3046667</v>
      </c>
      <c r="C57" s="337" t="s">
        <v>44</v>
      </c>
      <c r="D57" s="5">
        <f>C48+D48</f>
        <v>79118667</v>
      </c>
    </row>
    <row r="58" spans="1:4" x14ac:dyDescent="0.2">
      <c r="A58" s="338" t="s">
        <v>45</v>
      </c>
      <c r="B58" s="5">
        <f>SUM(B56:B57)</f>
        <v>81118667</v>
      </c>
      <c r="C58" s="338" t="s">
        <v>45</v>
      </c>
      <c r="D58" s="5">
        <f>SUM(D56:D57)</f>
        <v>81118667</v>
      </c>
    </row>
    <row r="60" spans="1:4" ht="12.75" customHeight="1" x14ac:dyDescent="0.2">
      <c r="A60" s="480" t="s">
        <v>429</v>
      </c>
      <c r="B60" s="481"/>
      <c r="C60" s="481"/>
      <c r="D60" s="481"/>
    </row>
    <row r="61" spans="1:4" x14ac:dyDescent="0.2">
      <c r="A61" s="335" t="s">
        <v>41</v>
      </c>
      <c r="B61" s="5">
        <f>B56+E48+E47</f>
        <v>133108000</v>
      </c>
      <c r="C61" s="335" t="s">
        <v>42</v>
      </c>
      <c r="D61" s="336">
        <v>2000000</v>
      </c>
    </row>
    <row r="62" spans="1:4" x14ac:dyDescent="0.2">
      <c r="A62" s="335" t="s">
        <v>43</v>
      </c>
      <c r="B62" s="5">
        <f>E38</f>
        <v>2486667</v>
      </c>
      <c r="C62" s="337" t="s">
        <v>44</v>
      </c>
      <c r="D62" s="5">
        <f>C48+D48+E48</f>
        <v>133594667</v>
      </c>
    </row>
    <row r="63" spans="1:4" x14ac:dyDescent="0.2">
      <c r="A63" s="338" t="s">
        <v>45</v>
      </c>
      <c r="B63" s="5">
        <f>SUM(B61:B62)</f>
        <v>135594667</v>
      </c>
      <c r="C63" s="338" t="s">
        <v>45</v>
      </c>
      <c r="D63" s="5">
        <f>SUM(D61:D62)</f>
        <v>135594667</v>
      </c>
    </row>
  </sheetData>
  <mergeCells count="31">
    <mergeCell ref="A55:D55"/>
    <mergeCell ref="A60:D60"/>
    <mergeCell ref="A46:B46"/>
    <mergeCell ref="A47:B47"/>
    <mergeCell ref="A48:B48"/>
    <mergeCell ref="A50:D50"/>
    <mergeCell ref="A42:B42"/>
    <mergeCell ref="A43:B43"/>
    <mergeCell ref="A44:B44"/>
    <mergeCell ref="A45:B45"/>
    <mergeCell ref="A24:D24"/>
    <mergeCell ref="A29:D29"/>
    <mergeCell ref="A34:D34"/>
    <mergeCell ref="A41:B41"/>
    <mergeCell ref="A18:D18"/>
    <mergeCell ref="A19:D19"/>
    <mergeCell ref="A21:F21"/>
    <mergeCell ref="A23:D23"/>
    <mergeCell ref="A7:F7"/>
    <mergeCell ref="A8:F8"/>
    <mergeCell ref="A12:C12"/>
    <mergeCell ref="A13:A14"/>
    <mergeCell ref="B13:B14"/>
    <mergeCell ref="C13:C14"/>
    <mergeCell ref="D13:D14"/>
    <mergeCell ref="E13:E14"/>
    <mergeCell ref="F13:F14"/>
    <mergeCell ref="A2:F2"/>
    <mergeCell ref="A3:F3"/>
    <mergeCell ref="A4:F4"/>
    <mergeCell ref="A5:F5"/>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B23" sqref="B23"/>
    </sheetView>
  </sheetViews>
  <sheetFormatPr defaultRowHeight="11.25" x14ac:dyDescent="0.2"/>
  <cols>
    <col min="1" max="1" width="30.28515625" style="1" customWidth="1"/>
    <col min="2" max="2" width="13.28515625" style="1" customWidth="1"/>
    <col min="3" max="3" width="12.85546875" style="1" customWidth="1"/>
    <col min="4" max="4" width="14.140625" style="1" customWidth="1"/>
    <col min="5" max="5" width="13.42578125" style="1" customWidth="1"/>
    <col min="6" max="6" width="11.42578125" style="1" customWidth="1"/>
    <col min="7" max="7" width="12.7109375" style="1" customWidth="1"/>
    <col min="8" max="8" width="11.42578125" style="1" customWidth="1"/>
    <col min="9" max="9" width="12.7109375" style="1" customWidth="1"/>
    <col min="10" max="16384" width="9.140625" style="1"/>
  </cols>
  <sheetData>
    <row r="1" spans="1:9" x14ac:dyDescent="0.2">
      <c r="A1" s="151" t="s">
        <v>161</v>
      </c>
    </row>
    <row r="2" spans="1:9" x14ac:dyDescent="0.2">
      <c r="A2" s="484" t="s">
        <v>162</v>
      </c>
      <c r="B2" s="482" t="s">
        <v>163</v>
      </c>
      <c r="C2" s="482" t="s">
        <v>164</v>
      </c>
      <c r="D2" s="482" t="s">
        <v>165</v>
      </c>
      <c r="E2" s="482" t="s">
        <v>166</v>
      </c>
      <c r="F2" s="482" t="s">
        <v>167</v>
      </c>
      <c r="G2" s="482" t="s">
        <v>168</v>
      </c>
      <c r="H2" s="482" t="s">
        <v>184</v>
      </c>
      <c r="I2" s="482" t="s">
        <v>185</v>
      </c>
    </row>
    <row r="3" spans="1:9" ht="10.5" customHeight="1" x14ac:dyDescent="0.2">
      <c r="A3" s="485"/>
      <c r="B3" s="483"/>
      <c r="C3" s="483"/>
      <c r="D3" s="483"/>
      <c r="E3" s="483"/>
      <c r="F3" s="483"/>
      <c r="G3" s="483"/>
      <c r="H3" s="483"/>
      <c r="I3" s="483"/>
    </row>
    <row r="4" spans="1:9" ht="12" customHeight="1" x14ac:dyDescent="0.2">
      <c r="A4" s="153" t="s">
        <v>169</v>
      </c>
      <c r="B4" s="152">
        <v>500000</v>
      </c>
      <c r="C4" s="154">
        <v>36896</v>
      </c>
      <c r="D4" s="155">
        <f>B4*B19*(12/12)</f>
        <v>75000</v>
      </c>
      <c r="E4" s="155">
        <f>B4-D4</f>
        <v>425000</v>
      </c>
      <c r="F4" s="156">
        <f>B4*B19</f>
        <v>75000</v>
      </c>
      <c r="G4" s="156">
        <f>E4-F4</f>
        <v>350000</v>
      </c>
      <c r="H4" s="156">
        <f>B4*B19</f>
        <v>75000</v>
      </c>
      <c r="I4" s="156">
        <f>G4-H4</f>
        <v>275000</v>
      </c>
    </row>
    <row r="5" spans="1:9" ht="12" customHeight="1" x14ac:dyDescent="0.2">
      <c r="A5" s="153" t="s">
        <v>170</v>
      </c>
      <c r="B5" s="152">
        <v>700000</v>
      </c>
      <c r="C5" s="154">
        <v>36969</v>
      </c>
      <c r="D5" s="155">
        <f>B5*B19*(9/12)</f>
        <v>78750</v>
      </c>
      <c r="E5" s="155">
        <f>B5-D5</f>
        <v>621250</v>
      </c>
      <c r="F5" s="156">
        <f>B5*B19</f>
        <v>105000</v>
      </c>
      <c r="G5" s="156">
        <f>E5-F5</f>
        <v>516250</v>
      </c>
      <c r="H5" s="156">
        <f>B5*B19</f>
        <v>105000</v>
      </c>
      <c r="I5" s="156">
        <f>G5-H5</f>
        <v>411250</v>
      </c>
    </row>
    <row r="6" spans="1:9" ht="12" customHeight="1" x14ac:dyDescent="0.2">
      <c r="A6" s="153" t="s">
        <v>171</v>
      </c>
      <c r="B6" s="152">
        <v>4500000</v>
      </c>
      <c r="C6" s="154">
        <v>37050</v>
      </c>
      <c r="D6" s="155">
        <f>B6*B16*(7/12)</f>
        <v>315000</v>
      </c>
      <c r="E6" s="155">
        <f>B6-D6</f>
        <v>4185000</v>
      </c>
      <c r="F6" s="156">
        <f>B6*B16</f>
        <v>540000</v>
      </c>
      <c r="G6" s="156">
        <f>E6-F6</f>
        <v>3645000</v>
      </c>
      <c r="H6" s="156">
        <f>B6*B16</f>
        <v>540000</v>
      </c>
      <c r="I6" s="156">
        <f>G6-H6</f>
        <v>3105000</v>
      </c>
    </row>
    <row r="7" spans="1:9" ht="12" customHeight="1" x14ac:dyDescent="0.2">
      <c r="A7" s="153" t="s">
        <v>172</v>
      </c>
      <c r="B7" s="152">
        <v>4300000</v>
      </c>
      <c r="C7" s="154">
        <v>37113</v>
      </c>
      <c r="D7" s="155">
        <f>B7*B16*(5/12)</f>
        <v>215000</v>
      </c>
      <c r="E7" s="155">
        <f>B7-D7</f>
        <v>4085000</v>
      </c>
      <c r="F7" s="156">
        <f>B7*B16</f>
        <v>516000</v>
      </c>
      <c r="G7" s="156">
        <f>E7-F7</f>
        <v>3569000</v>
      </c>
      <c r="H7" s="156">
        <f>B7*B16</f>
        <v>516000</v>
      </c>
      <c r="I7" s="156">
        <f>G7-H7</f>
        <v>3053000</v>
      </c>
    </row>
    <row r="8" spans="1:9" ht="12" customHeight="1" x14ac:dyDescent="0.2">
      <c r="A8" s="157" t="s">
        <v>45</v>
      </c>
      <c r="B8" s="158">
        <f>SUM(B4:B7)</f>
        <v>10000000</v>
      </c>
      <c r="C8" s="158"/>
      <c r="D8" s="158">
        <f t="shared" ref="D8:I8" si="0">SUM(D4:D7)</f>
        <v>683750</v>
      </c>
      <c r="E8" s="158">
        <f t="shared" si="0"/>
        <v>9316250</v>
      </c>
      <c r="F8" s="158">
        <f t="shared" si="0"/>
        <v>1236000</v>
      </c>
      <c r="G8" s="158">
        <f t="shared" si="0"/>
        <v>8080250</v>
      </c>
      <c r="H8" s="158">
        <f t="shared" si="0"/>
        <v>1236000</v>
      </c>
      <c r="I8" s="158">
        <f t="shared" si="0"/>
        <v>6844250</v>
      </c>
    </row>
    <row r="9" spans="1:9" ht="15.95" customHeight="1" x14ac:dyDescent="0.2">
      <c r="A9" s="157"/>
      <c r="B9" s="159"/>
      <c r="C9" s="159"/>
      <c r="D9" s="159"/>
      <c r="E9" s="159"/>
    </row>
    <row r="10" spans="1:9" ht="15.95" customHeight="1" x14ac:dyDescent="0.2">
      <c r="A10" s="160" t="s">
        <v>173</v>
      </c>
      <c r="B10" s="160" t="s">
        <v>174</v>
      </c>
      <c r="C10" s="157"/>
      <c r="D10" s="157"/>
      <c r="E10" s="157"/>
    </row>
    <row r="11" spans="1:9" ht="12" customHeight="1" x14ac:dyDescent="0.2">
      <c r="A11" s="161" t="s">
        <v>175</v>
      </c>
      <c r="B11" s="162">
        <v>0</v>
      </c>
      <c r="C11" s="157"/>
      <c r="D11" s="157"/>
      <c r="E11" s="157"/>
    </row>
    <row r="12" spans="1:9" ht="12" customHeight="1" x14ac:dyDescent="0.2">
      <c r="A12" s="163" t="s">
        <v>176</v>
      </c>
      <c r="B12" s="164">
        <v>0.15</v>
      </c>
      <c r="C12" s="157"/>
      <c r="D12" s="157"/>
      <c r="E12" s="157"/>
    </row>
    <row r="13" spans="1:9" ht="12" customHeight="1" x14ac:dyDescent="0.2">
      <c r="A13" s="163" t="s">
        <v>177</v>
      </c>
      <c r="B13" s="164">
        <v>0.05</v>
      </c>
      <c r="C13" s="157"/>
      <c r="D13" s="157"/>
      <c r="E13" s="157"/>
    </row>
    <row r="14" spans="1:9" ht="12" customHeight="1" x14ac:dyDescent="0.2">
      <c r="A14" s="163" t="s">
        <v>178</v>
      </c>
      <c r="B14" s="164">
        <v>0.08</v>
      </c>
      <c r="C14" s="157"/>
      <c r="D14" s="157"/>
      <c r="E14" s="157"/>
    </row>
    <row r="15" spans="1:9" ht="12" customHeight="1" x14ac:dyDescent="0.2">
      <c r="A15" s="163" t="s">
        <v>179</v>
      </c>
      <c r="B15" s="164">
        <v>0.1</v>
      </c>
      <c r="C15" s="157"/>
      <c r="D15" s="157"/>
      <c r="E15" s="157"/>
    </row>
    <row r="16" spans="1:9" ht="12" customHeight="1" x14ac:dyDescent="0.2">
      <c r="A16" s="163" t="s">
        <v>180</v>
      </c>
      <c r="B16" s="164">
        <v>0.12</v>
      </c>
      <c r="C16" s="157"/>
      <c r="D16" s="157"/>
      <c r="E16" s="157"/>
    </row>
    <row r="17" spans="1:5" ht="12" customHeight="1" x14ac:dyDescent="0.2">
      <c r="A17" s="163" t="s">
        <v>181</v>
      </c>
      <c r="B17" s="164">
        <v>0.15</v>
      </c>
      <c r="C17" s="157"/>
      <c r="D17" s="157"/>
      <c r="E17" s="157"/>
    </row>
    <row r="18" spans="1:5" ht="12" customHeight="1" x14ac:dyDescent="0.2">
      <c r="A18" s="163" t="s">
        <v>182</v>
      </c>
      <c r="B18" s="164">
        <v>0.2</v>
      </c>
      <c r="C18" s="157"/>
      <c r="D18" s="157"/>
      <c r="E18" s="157"/>
    </row>
    <row r="19" spans="1:5" ht="12" customHeight="1" x14ac:dyDescent="0.2">
      <c r="A19" s="163" t="s">
        <v>183</v>
      </c>
      <c r="B19" s="164">
        <v>0.15</v>
      </c>
      <c r="C19" s="157"/>
      <c r="D19" s="157"/>
      <c r="E19" s="157"/>
    </row>
    <row r="20" spans="1:5" ht="15.95" customHeight="1" x14ac:dyDescent="0.2">
      <c r="A20" s="165" t="s">
        <v>240</v>
      </c>
      <c r="B20" s="165"/>
      <c r="C20" s="165"/>
      <c r="D20" s="165"/>
      <c r="E20" s="165"/>
    </row>
    <row r="21" spans="1:5" ht="15.95" customHeight="1" x14ac:dyDescent="0.2">
      <c r="A21" s="203" t="s">
        <v>241</v>
      </c>
      <c r="B21" s="1">
        <f>D6+F6+H6+(B6*B16*(6/12))</f>
        <v>1665000</v>
      </c>
    </row>
    <row r="22" spans="1:5" ht="15.95" customHeight="1" x14ac:dyDescent="0.2">
      <c r="A22" s="1" t="s">
        <v>242</v>
      </c>
      <c r="B22" s="1">
        <f>B6-B21</f>
        <v>2835000</v>
      </c>
    </row>
    <row r="23" spans="1:5" ht="15.95" customHeight="1" x14ac:dyDescent="0.2">
      <c r="A23" s="1" t="s">
        <v>243</v>
      </c>
      <c r="B23" s="204">
        <f>B22-2000000</f>
        <v>835000</v>
      </c>
    </row>
    <row r="24" spans="1:5" ht="15.95" customHeight="1" x14ac:dyDescent="0.2"/>
    <row r="25" spans="1:5" ht="15.95" customHeight="1" x14ac:dyDescent="0.2"/>
    <row r="26" spans="1:5" ht="15.95" customHeight="1" x14ac:dyDescent="0.2"/>
    <row r="27" spans="1:5" ht="15.95" customHeight="1" x14ac:dyDescent="0.2"/>
    <row r="28" spans="1:5" ht="15.95" customHeight="1" x14ac:dyDescent="0.2"/>
    <row r="29" spans="1:5" ht="15.95" customHeight="1" x14ac:dyDescent="0.2"/>
    <row r="30" spans="1:5" ht="15.95" customHeight="1" x14ac:dyDescent="0.2"/>
    <row r="31" spans="1:5" ht="15.95" customHeight="1" x14ac:dyDescent="0.2"/>
    <row r="32" spans="1:5"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sheetData>
  <mergeCells count="9">
    <mergeCell ref="I2:I3"/>
    <mergeCell ref="E2:E3"/>
    <mergeCell ref="F2:F3"/>
    <mergeCell ref="G2:G3"/>
    <mergeCell ref="H2:H3"/>
    <mergeCell ref="A2:A3"/>
    <mergeCell ref="B2:B3"/>
    <mergeCell ref="C2:C3"/>
    <mergeCell ref="D2:D3"/>
  </mergeCells>
  <phoneticPr fontId="3"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C7" sqref="C7"/>
    </sheetView>
  </sheetViews>
  <sheetFormatPr defaultRowHeight="12" x14ac:dyDescent="0.2"/>
  <cols>
    <col min="1" max="1" width="20.85546875" style="72" customWidth="1"/>
    <col min="2" max="5" width="9.140625" style="72"/>
    <col min="6" max="6" width="10.140625" style="72" customWidth="1"/>
    <col min="7" max="16384" width="9.140625" style="72"/>
  </cols>
  <sheetData>
    <row r="1" spans="1:8" ht="12.75" thickTop="1" x14ac:dyDescent="0.2">
      <c r="A1" s="227" t="s">
        <v>258</v>
      </c>
      <c r="B1" s="228"/>
      <c r="C1" s="228"/>
      <c r="D1" s="228"/>
      <c r="E1" s="228"/>
      <c r="F1" s="228"/>
      <c r="G1" s="228"/>
      <c r="H1" s="229"/>
    </row>
    <row r="2" spans="1:8" x14ac:dyDescent="0.2">
      <c r="A2" s="230"/>
      <c r="B2" s="231"/>
      <c r="C2" s="231"/>
      <c r="D2" s="231"/>
      <c r="E2" s="231"/>
      <c r="F2" s="231"/>
      <c r="G2" s="231"/>
      <c r="H2" s="232"/>
    </row>
    <row r="3" spans="1:8" x14ac:dyDescent="0.2">
      <c r="A3" s="230"/>
      <c r="B3" s="233" t="s">
        <v>259</v>
      </c>
      <c r="C3" s="233" t="s">
        <v>260</v>
      </c>
      <c r="D3" s="233" t="s">
        <v>261</v>
      </c>
      <c r="E3" s="233" t="s">
        <v>262</v>
      </c>
      <c r="F3" s="233" t="s">
        <v>263</v>
      </c>
      <c r="G3" s="233" t="s">
        <v>264</v>
      </c>
      <c r="H3" s="234" t="s">
        <v>45</v>
      </c>
    </row>
    <row r="4" spans="1:8" x14ac:dyDescent="0.2">
      <c r="A4" s="230" t="s">
        <v>265</v>
      </c>
      <c r="B4" s="235">
        <v>10</v>
      </c>
      <c r="C4" s="235">
        <v>20</v>
      </c>
      <c r="D4" s="235">
        <v>30</v>
      </c>
      <c r="E4" s="235">
        <v>40</v>
      </c>
      <c r="F4" s="235">
        <v>50</v>
      </c>
      <c r="G4" s="235">
        <v>60</v>
      </c>
      <c r="H4" s="236">
        <f>SUM(B4:G4)</f>
        <v>210</v>
      </c>
    </row>
    <row r="5" spans="1:8" x14ac:dyDescent="0.2">
      <c r="A5" s="230" t="s">
        <v>266</v>
      </c>
      <c r="B5" s="235"/>
      <c r="C5" s="235"/>
      <c r="D5" s="235"/>
      <c r="E5" s="235"/>
      <c r="F5" s="235"/>
      <c r="G5" s="235"/>
      <c r="H5" s="236"/>
    </row>
    <row r="6" spans="1:8" x14ac:dyDescent="0.2">
      <c r="A6" s="230" t="s">
        <v>267</v>
      </c>
      <c r="B6" s="235"/>
      <c r="C6" s="235"/>
      <c r="D6" s="235"/>
      <c r="E6" s="235"/>
      <c r="F6" s="235"/>
      <c r="G6" s="235"/>
      <c r="H6" s="236"/>
    </row>
    <row r="7" spans="1:8" x14ac:dyDescent="0.2">
      <c r="A7" s="230" t="s">
        <v>268</v>
      </c>
      <c r="B7" s="235"/>
      <c r="C7" s="235"/>
      <c r="D7" s="235"/>
      <c r="E7" s="235"/>
      <c r="F7" s="235"/>
      <c r="G7" s="235"/>
      <c r="H7" s="236"/>
    </row>
    <row r="8" spans="1:8" x14ac:dyDescent="0.2">
      <c r="A8" s="230" t="s">
        <v>269</v>
      </c>
      <c r="B8" s="235"/>
      <c r="C8" s="235"/>
      <c r="D8" s="235"/>
      <c r="E8" s="235"/>
      <c r="F8" s="235"/>
      <c r="G8" s="235"/>
      <c r="H8" s="236"/>
    </row>
    <row r="9" spans="1:8" x14ac:dyDescent="0.2">
      <c r="A9" s="230" t="s">
        <v>270</v>
      </c>
      <c r="B9" s="235"/>
      <c r="C9" s="235"/>
      <c r="D9" s="235"/>
      <c r="E9" s="235"/>
      <c r="F9" s="235"/>
      <c r="G9" s="235"/>
      <c r="H9" s="236"/>
    </row>
    <row r="10" spans="1:8" x14ac:dyDescent="0.2">
      <c r="A10" s="230"/>
      <c r="B10" s="235"/>
      <c r="C10" s="235"/>
      <c r="D10" s="235"/>
      <c r="E10" s="235"/>
      <c r="F10" s="235"/>
      <c r="G10" s="235"/>
      <c r="H10" s="236"/>
    </row>
    <row r="11" spans="1:8" x14ac:dyDescent="0.2">
      <c r="A11" s="230"/>
      <c r="B11" s="235"/>
      <c r="C11" s="235"/>
      <c r="D11" s="235"/>
      <c r="E11" s="235"/>
      <c r="F11" s="235"/>
      <c r="G11" s="235"/>
      <c r="H11" s="236"/>
    </row>
    <row r="12" spans="1:8" x14ac:dyDescent="0.2">
      <c r="A12" s="486" t="s">
        <v>271</v>
      </c>
      <c r="B12" s="487"/>
      <c r="C12" s="487"/>
      <c r="D12" s="487"/>
      <c r="E12" s="487"/>
      <c r="F12" s="487"/>
      <c r="G12" s="487"/>
      <c r="H12" s="488"/>
    </row>
    <row r="13" spans="1:8" x14ac:dyDescent="0.2">
      <c r="A13" s="486"/>
      <c r="B13" s="487"/>
      <c r="C13" s="487"/>
      <c r="D13" s="487"/>
      <c r="E13" s="487"/>
      <c r="F13" s="487"/>
      <c r="G13" s="487"/>
      <c r="H13" s="488"/>
    </row>
    <row r="14" spans="1:8" x14ac:dyDescent="0.2">
      <c r="A14" s="230" t="s">
        <v>272</v>
      </c>
      <c r="B14" s="235"/>
      <c r="C14" s="235"/>
      <c r="D14" s="235"/>
      <c r="E14" s="235"/>
      <c r="F14" s="235"/>
      <c r="G14" s="235"/>
      <c r="H14" s="236"/>
    </row>
    <row r="15" spans="1:8" x14ac:dyDescent="0.2">
      <c r="A15" s="230" t="s">
        <v>273</v>
      </c>
      <c r="B15" s="235"/>
      <c r="C15" s="235"/>
      <c r="D15" s="235"/>
      <c r="E15" s="235"/>
      <c r="F15" s="235"/>
      <c r="G15" s="235"/>
      <c r="H15" s="236"/>
    </row>
    <row r="16" spans="1:8" x14ac:dyDescent="0.2">
      <c r="A16" s="237" t="s">
        <v>274</v>
      </c>
      <c r="B16" s="235"/>
      <c r="C16" s="235"/>
      <c r="D16" s="235"/>
      <c r="E16" s="235"/>
      <c r="F16" s="235"/>
      <c r="G16" s="235"/>
      <c r="H16" s="236"/>
    </row>
    <row r="17" spans="1:8" x14ac:dyDescent="0.2">
      <c r="A17" s="230" t="s">
        <v>275</v>
      </c>
      <c r="B17" s="235"/>
      <c r="C17" s="235"/>
      <c r="D17" s="235"/>
      <c r="E17" s="235"/>
      <c r="F17" s="235"/>
      <c r="G17" s="235"/>
      <c r="H17" s="236"/>
    </row>
    <row r="18" spans="1:8" x14ac:dyDescent="0.2">
      <c r="A18" s="230" t="s">
        <v>276</v>
      </c>
      <c r="B18" s="235"/>
      <c r="C18" s="235"/>
      <c r="D18" s="235"/>
      <c r="E18" s="235"/>
      <c r="F18" s="235"/>
      <c r="G18" s="235"/>
      <c r="H18" s="236"/>
    </row>
    <row r="19" spans="1:8" x14ac:dyDescent="0.2">
      <c r="A19" s="230" t="s">
        <v>277</v>
      </c>
      <c r="B19" s="235"/>
      <c r="C19" s="235"/>
      <c r="D19" s="235"/>
      <c r="E19" s="235"/>
      <c r="F19" s="235"/>
      <c r="G19" s="235"/>
      <c r="H19" s="236"/>
    </row>
    <row r="20" spans="1:8" x14ac:dyDescent="0.2">
      <c r="A20" s="230" t="s">
        <v>278</v>
      </c>
      <c r="B20" s="235"/>
      <c r="C20" s="235"/>
      <c r="D20" s="235"/>
      <c r="E20" s="235"/>
      <c r="F20" s="235"/>
      <c r="G20" s="235"/>
      <c r="H20" s="236"/>
    </row>
    <row r="21" spans="1:8" ht="12.75" thickBot="1" x14ac:dyDescent="0.25">
      <c r="A21" s="238"/>
      <c r="B21" s="239"/>
      <c r="C21" s="239"/>
      <c r="D21" s="239"/>
      <c r="E21" s="239"/>
      <c r="F21" s="239"/>
      <c r="G21" s="239"/>
      <c r="H21" s="240"/>
    </row>
    <row r="22" spans="1:8" ht="12.75" thickTop="1" x14ac:dyDescent="0.2"/>
  </sheetData>
  <mergeCells count="1">
    <mergeCell ref="A12:H13"/>
  </mergeCells>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E34" sqref="E34"/>
    </sheetView>
  </sheetViews>
  <sheetFormatPr defaultRowHeight="11.25" x14ac:dyDescent="0.2"/>
  <cols>
    <col min="1" max="1" width="18.5703125" style="1" customWidth="1"/>
    <col min="2" max="2" width="9.7109375" style="1" customWidth="1"/>
    <col min="3" max="3" width="16.85546875" style="1" customWidth="1"/>
    <col min="4" max="4" width="11" style="1" customWidth="1"/>
    <col min="5" max="5" width="12.28515625" style="1" customWidth="1"/>
    <col min="6" max="6" width="11.5703125" style="1" customWidth="1"/>
    <col min="7" max="7" width="12.42578125" style="1" customWidth="1"/>
    <col min="8" max="8" width="13.85546875" style="1" customWidth="1"/>
    <col min="9" max="16384" width="9.140625" style="1"/>
  </cols>
  <sheetData>
    <row r="1" spans="1:8" ht="12" thickTop="1" x14ac:dyDescent="0.2">
      <c r="A1" s="241" t="s">
        <v>258</v>
      </c>
      <c r="B1" s="489">
        <v>36526</v>
      </c>
      <c r="C1" s="490"/>
      <c r="D1" s="243"/>
      <c r="E1" s="243"/>
      <c r="F1" s="242" t="s">
        <v>279</v>
      </c>
      <c r="G1" s="242" t="s">
        <v>280</v>
      </c>
      <c r="H1" s="244"/>
    </row>
    <row r="2" spans="1:8" x14ac:dyDescent="0.2">
      <c r="A2" s="245" t="s">
        <v>281</v>
      </c>
      <c r="B2" s="246">
        <v>1000000</v>
      </c>
      <c r="C2" s="247" t="s">
        <v>282</v>
      </c>
      <c r="D2" s="248">
        <v>1000000</v>
      </c>
      <c r="E2" s="249"/>
      <c r="F2" s="248">
        <v>100000</v>
      </c>
      <c r="G2" s="248">
        <v>200000</v>
      </c>
      <c r="H2" s="250"/>
    </row>
    <row r="3" spans="1:8" x14ac:dyDescent="0.2">
      <c r="A3" s="245" t="s">
        <v>283</v>
      </c>
      <c r="B3" s="251">
        <v>100000</v>
      </c>
      <c r="C3" s="249"/>
      <c r="D3" s="249"/>
      <c r="E3" s="249"/>
      <c r="F3" s="249"/>
      <c r="G3" s="249"/>
      <c r="H3" s="250"/>
    </row>
    <row r="4" spans="1:8" x14ac:dyDescent="0.2">
      <c r="A4" s="252"/>
      <c r="B4" s="249"/>
      <c r="C4" s="249"/>
      <c r="D4" s="249"/>
      <c r="E4" s="249"/>
      <c r="F4" s="249"/>
      <c r="G4" s="249"/>
      <c r="H4" s="250"/>
    </row>
    <row r="5" spans="1:8" x14ac:dyDescent="0.2">
      <c r="A5" s="253" t="s">
        <v>284</v>
      </c>
      <c r="B5" s="254" t="s">
        <v>259</v>
      </c>
      <c r="C5" s="254" t="s">
        <v>260</v>
      </c>
      <c r="D5" s="254" t="s">
        <v>261</v>
      </c>
      <c r="E5" s="254" t="s">
        <v>262</v>
      </c>
      <c r="F5" s="254" t="s">
        <v>263</v>
      </c>
      <c r="G5" s="254" t="s">
        <v>264</v>
      </c>
      <c r="H5" s="255" t="s">
        <v>285</v>
      </c>
    </row>
    <row r="6" spans="1:8" x14ac:dyDescent="0.2">
      <c r="A6" s="252" t="s">
        <v>195</v>
      </c>
      <c r="B6" s="256">
        <v>10</v>
      </c>
      <c r="C6" s="256">
        <v>20</v>
      </c>
      <c r="D6" s="256">
        <v>30</v>
      </c>
      <c r="E6" s="256">
        <v>40</v>
      </c>
      <c r="F6" s="256">
        <v>50</v>
      </c>
      <c r="G6" s="256">
        <v>60</v>
      </c>
      <c r="H6" s="257">
        <f t="shared" ref="H6:H11" si="0">SUM(B6:G6)</f>
        <v>210</v>
      </c>
    </row>
    <row r="7" spans="1:8" x14ac:dyDescent="0.2">
      <c r="A7" s="252" t="s">
        <v>195</v>
      </c>
      <c r="B7" s="246">
        <f t="shared" ref="B7:G7" si="1">B6*$G$2</f>
        <v>2000000</v>
      </c>
      <c r="C7" s="246">
        <f t="shared" si="1"/>
        <v>4000000</v>
      </c>
      <c r="D7" s="246">
        <f t="shared" si="1"/>
        <v>6000000</v>
      </c>
      <c r="E7" s="246">
        <f t="shared" si="1"/>
        <v>8000000</v>
      </c>
      <c r="F7" s="246">
        <f t="shared" si="1"/>
        <v>10000000</v>
      </c>
      <c r="G7" s="246">
        <f t="shared" si="1"/>
        <v>12000000</v>
      </c>
      <c r="H7" s="258">
        <f t="shared" si="0"/>
        <v>42000000</v>
      </c>
    </row>
    <row r="8" spans="1:8" x14ac:dyDescent="0.2">
      <c r="A8" s="252" t="s">
        <v>267</v>
      </c>
      <c r="B8" s="246">
        <f t="shared" ref="B8:G8" si="2">B6*$F$2</f>
        <v>1000000</v>
      </c>
      <c r="C8" s="246">
        <f t="shared" si="2"/>
        <v>2000000</v>
      </c>
      <c r="D8" s="246">
        <f t="shared" si="2"/>
        <v>3000000</v>
      </c>
      <c r="E8" s="246">
        <f t="shared" si="2"/>
        <v>4000000</v>
      </c>
      <c r="F8" s="246">
        <f t="shared" si="2"/>
        <v>5000000</v>
      </c>
      <c r="G8" s="246">
        <f t="shared" si="2"/>
        <v>6000000</v>
      </c>
      <c r="H8" s="258">
        <f t="shared" si="0"/>
        <v>21000000</v>
      </c>
    </row>
    <row r="9" spans="1:8" x14ac:dyDescent="0.2">
      <c r="A9" s="252" t="s">
        <v>268</v>
      </c>
      <c r="B9" s="246">
        <f t="shared" ref="B9:G9" si="3">B7-B8</f>
        <v>1000000</v>
      </c>
      <c r="C9" s="246">
        <f t="shared" si="3"/>
        <v>2000000</v>
      </c>
      <c r="D9" s="246">
        <f t="shared" si="3"/>
        <v>3000000</v>
      </c>
      <c r="E9" s="246">
        <f t="shared" si="3"/>
        <v>4000000</v>
      </c>
      <c r="F9" s="246">
        <f t="shared" si="3"/>
        <v>5000000</v>
      </c>
      <c r="G9" s="246">
        <f t="shared" si="3"/>
        <v>6000000</v>
      </c>
      <c r="H9" s="258">
        <f t="shared" si="0"/>
        <v>21000000</v>
      </c>
    </row>
    <row r="10" spans="1:8" x14ac:dyDescent="0.2">
      <c r="A10" s="252" t="s">
        <v>269</v>
      </c>
      <c r="B10" s="246">
        <f t="shared" ref="B10:G10" si="4">$B$3</f>
        <v>100000</v>
      </c>
      <c r="C10" s="246">
        <f t="shared" si="4"/>
        <v>100000</v>
      </c>
      <c r="D10" s="246">
        <f t="shared" si="4"/>
        <v>100000</v>
      </c>
      <c r="E10" s="246">
        <f t="shared" si="4"/>
        <v>100000</v>
      </c>
      <c r="F10" s="246">
        <f t="shared" si="4"/>
        <v>100000</v>
      </c>
      <c r="G10" s="246">
        <f t="shared" si="4"/>
        <v>100000</v>
      </c>
      <c r="H10" s="258">
        <f t="shared" si="0"/>
        <v>600000</v>
      </c>
    </row>
    <row r="11" spans="1:8" x14ac:dyDescent="0.2">
      <c r="A11" s="252" t="s">
        <v>270</v>
      </c>
      <c r="B11" s="246">
        <f t="shared" ref="B11:G11" si="5">B9-B10</f>
        <v>900000</v>
      </c>
      <c r="C11" s="246">
        <f t="shared" si="5"/>
        <v>1900000</v>
      </c>
      <c r="D11" s="246">
        <f t="shared" si="5"/>
        <v>2900000</v>
      </c>
      <c r="E11" s="246">
        <f t="shared" si="5"/>
        <v>3900000</v>
      </c>
      <c r="F11" s="246">
        <f t="shared" si="5"/>
        <v>4900000</v>
      </c>
      <c r="G11" s="246">
        <f t="shared" si="5"/>
        <v>5900000</v>
      </c>
      <c r="H11" s="258">
        <f t="shared" si="0"/>
        <v>20400000</v>
      </c>
    </row>
    <row r="12" spans="1:8" x14ac:dyDescent="0.2">
      <c r="A12" s="259" t="s">
        <v>286</v>
      </c>
      <c r="B12" s="256"/>
      <c r="C12" s="256"/>
      <c r="D12" s="256"/>
      <c r="E12" s="256"/>
      <c r="F12" s="256"/>
      <c r="G12" s="256"/>
      <c r="H12" s="257"/>
    </row>
    <row r="13" spans="1:8" x14ac:dyDescent="0.2">
      <c r="A13" s="252" t="s">
        <v>287</v>
      </c>
      <c r="B13" s="246">
        <f>B2</f>
        <v>1000000</v>
      </c>
      <c r="C13" s="246">
        <f>B16</f>
        <v>1900000</v>
      </c>
      <c r="D13" s="246">
        <f>C16</f>
        <v>3800000</v>
      </c>
      <c r="E13" s="246">
        <f>D16</f>
        <v>6700000</v>
      </c>
      <c r="F13" s="246">
        <f>E16</f>
        <v>10600000</v>
      </c>
      <c r="G13" s="246">
        <f>F16</f>
        <v>15500000</v>
      </c>
      <c r="H13" s="258"/>
    </row>
    <row r="14" spans="1:8" x14ac:dyDescent="0.2">
      <c r="A14" s="252" t="s">
        <v>288</v>
      </c>
      <c r="B14" s="246">
        <f t="shared" ref="B14:G14" si="6">B7</f>
        <v>2000000</v>
      </c>
      <c r="C14" s="246">
        <f t="shared" si="6"/>
        <v>4000000</v>
      </c>
      <c r="D14" s="246">
        <f t="shared" si="6"/>
        <v>6000000</v>
      </c>
      <c r="E14" s="246">
        <f t="shared" si="6"/>
        <v>8000000</v>
      </c>
      <c r="F14" s="246">
        <f t="shared" si="6"/>
        <v>10000000</v>
      </c>
      <c r="G14" s="246">
        <f t="shared" si="6"/>
        <v>12000000</v>
      </c>
      <c r="H14" s="258">
        <f>SUM(B14:G14)</f>
        <v>42000000</v>
      </c>
    </row>
    <row r="15" spans="1:8" x14ac:dyDescent="0.2">
      <c r="A15" s="252" t="s">
        <v>289</v>
      </c>
      <c r="B15" s="246">
        <f t="shared" ref="B15:G15" si="7">$B$3+B8</f>
        <v>1100000</v>
      </c>
      <c r="C15" s="246">
        <f t="shared" si="7"/>
        <v>2100000</v>
      </c>
      <c r="D15" s="246">
        <f t="shared" si="7"/>
        <v>3100000</v>
      </c>
      <c r="E15" s="246">
        <f t="shared" si="7"/>
        <v>4100000</v>
      </c>
      <c r="F15" s="246">
        <f t="shared" si="7"/>
        <v>5100000</v>
      </c>
      <c r="G15" s="246">
        <f t="shared" si="7"/>
        <v>6100000</v>
      </c>
      <c r="H15" s="258">
        <f>SUM(B15:G15)</f>
        <v>21600000</v>
      </c>
    </row>
    <row r="16" spans="1:8" x14ac:dyDescent="0.2">
      <c r="A16" s="252" t="s">
        <v>290</v>
      </c>
      <c r="B16" s="246">
        <f t="shared" ref="B16:G16" si="8">B13+B14-B15</f>
        <v>1900000</v>
      </c>
      <c r="C16" s="246">
        <f t="shared" si="8"/>
        <v>3800000</v>
      </c>
      <c r="D16" s="246">
        <f t="shared" si="8"/>
        <v>6700000</v>
      </c>
      <c r="E16" s="246">
        <f t="shared" si="8"/>
        <v>10600000</v>
      </c>
      <c r="F16" s="246">
        <f t="shared" si="8"/>
        <v>15500000</v>
      </c>
      <c r="G16" s="246">
        <f t="shared" si="8"/>
        <v>21400000</v>
      </c>
      <c r="H16" s="258"/>
    </row>
    <row r="17" spans="1:8" x14ac:dyDescent="0.2">
      <c r="A17" s="252"/>
      <c r="B17" s="256"/>
      <c r="C17" s="256"/>
      <c r="D17" s="256"/>
      <c r="E17" s="256"/>
      <c r="F17" s="256"/>
      <c r="G17" s="256"/>
      <c r="H17" s="257"/>
    </row>
    <row r="18" spans="1:8" x14ac:dyDescent="0.2">
      <c r="A18" s="253" t="s">
        <v>291</v>
      </c>
      <c r="B18" s="260">
        <v>36556</v>
      </c>
      <c r="C18" s="260">
        <v>36585</v>
      </c>
      <c r="D18" s="260">
        <v>36616</v>
      </c>
      <c r="E18" s="260">
        <v>36646</v>
      </c>
      <c r="F18" s="260">
        <v>36677</v>
      </c>
      <c r="G18" s="260">
        <v>36707</v>
      </c>
      <c r="H18" s="255" t="s">
        <v>285</v>
      </c>
    </row>
    <row r="19" spans="1:8" x14ac:dyDescent="0.2">
      <c r="A19" s="252" t="s">
        <v>281</v>
      </c>
      <c r="B19" s="246">
        <f t="shared" ref="B19:G19" si="9">B16</f>
        <v>1900000</v>
      </c>
      <c r="C19" s="246">
        <f t="shared" si="9"/>
        <v>3800000</v>
      </c>
      <c r="D19" s="246">
        <f t="shared" si="9"/>
        <v>6700000</v>
      </c>
      <c r="E19" s="246">
        <f t="shared" si="9"/>
        <v>10600000</v>
      </c>
      <c r="F19" s="246">
        <f t="shared" si="9"/>
        <v>15500000</v>
      </c>
      <c r="G19" s="246">
        <f t="shared" si="9"/>
        <v>21400000</v>
      </c>
      <c r="H19" s="258">
        <f>G19</f>
        <v>21400000</v>
      </c>
    </row>
    <row r="20" spans="1:8" x14ac:dyDescent="0.2">
      <c r="A20" s="252" t="s">
        <v>292</v>
      </c>
      <c r="B20" s="246">
        <f t="shared" ref="B20:G20" si="10">B19</f>
        <v>1900000</v>
      </c>
      <c r="C20" s="246">
        <f t="shared" si="10"/>
        <v>3800000</v>
      </c>
      <c r="D20" s="246">
        <f t="shared" si="10"/>
        <v>6700000</v>
      </c>
      <c r="E20" s="246">
        <f t="shared" si="10"/>
        <v>10600000</v>
      </c>
      <c r="F20" s="246">
        <f t="shared" si="10"/>
        <v>15500000</v>
      </c>
      <c r="G20" s="246">
        <f t="shared" si="10"/>
        <v>21400000</v>
      </c>
      <c r="H20" s="258">
        <f>G20</f>
        <v>21400000</v>
      </c>
    </row>
    <row r="21" spans="1:8" x14ac:dyDescent="0.2">
      <c r="A21" s="252"/>
      <c r="B21" s="246"/>
      <c r="C21" s="246"/>
      <c r="D21" s="246"/>
      <c r="E21" s="246"/>
      <c r="F21" s="246"/>
      <c r="G21" s="246"/>
      <c r="H21" s="258"/>
    </row>
    <row r="22" spans="1:8" x14ac:dyDescent="0.2">
      <c r="A22" s="261" t="s">
        <v>282</v>
      </c>
      <c r="B22" s="246">
        <f t="shared" ref="B22:G22" si="11">$D$2</f>
        <v>1000000</v>
      </c>
      <c r="C22" s="246">
        <f t="shared" si="11"/>
        <v>1000000</v>
      </c>
      <c r="D22" s="246">
        <f t="shared" si="11"/>
        <v>1000000</v>
      </c>
      <c r="E22" s="246">
        <f t="shared" si="11"/>
        <v>1000000</v>
      </c>
      <c r="F22" s="246">
        <f t="shared" si="11"/>
        <v>1000000</v>
      </c>
      <c r="G22" s="246">
        <f t="shared" si="11"/>
        <v>1000000</v>
      </c>
      <c r="H22" s="258">
        <f>G22</f>
        <v>1000000</v>
      </c>
    </row>
    <row r="23" spans="1:8" x14ac:dyDescent="0.2">
      <c r="A23" s="261" t="s">
        <v>293</v>
      </c>
      <c r="B23" s="246">
        <f>B11</f>
        <v>900000</v>
      </c>
      <c r="C23" s="246">
        <f>B23+C11</f>
        <v>2800000</v>
      </c>
      <c r="D23" s="246">
        <f>C23+D11</f>
        <v>5700000</v>
      </c>
      <c r="E23" s="246">
        <f>D23+E11</f>
        <v>9600000</v>
      </c>
      <c r="F23" s="246">
        <f>E23+F11</f>
        <v>14500000</v>
      </c>
      <c r="G23" s="246">
        <f>F23+G11</f>
        <v>20400000</v>
      </c>
      <c r="H23" s="258">
        <f>G23</f>
        <v>20400000</v>
      </c>
    </row>
    <row r="24" spans="1:8" ht="12" thickBot="1" x14ac:dyDescent="0.25">
      <c r="A24" s="262" t="s">
        <v>294</v>
      </c>
      <c r="B24" s="263">
        <f>B23+B22</f>
        <v>1900000</v>
      </c>
      <c r="C24" s="263">
        <f t="shared" ref="C24:H24" si="12">C23+C22</f>
        <v>3800000</v>
      </c>
      <c r="D24" s="263">
        <f t="shared" si="12"/>
        <v>6700000</v>
      </c>
      <c r="E24" s="263">
        <f t="shared" si="12"/>
        <v>10600000</v>
      </c>
      <c r="F24" s="263">
        <f t="shared" si="12"/>
        <v>15500000</v>
      </c>
      <c r="G24" s="263">
        <f t="shared" si="12"/>
        <v>21400000</v>
      </c>
      <c r="H24" s="264">
        <f t="shared" si="12"/>
        <v>21400000</v>
      </c>
    </row>
    <row r="25" spans="1:8" ht="12" thickTop="1" x14ac:dyDescent="0.2"/>
    <row r="27" spans="1:8" x14ac:dyDescent="0.2">
      <c r="C27" s="265"/>
      <c r="D27" s="265"/>
    </row>
    <row r="28" spans="1:8" x14ac:dyDescent="0.2">
      <c r="C28" s="265"/>
    </row>
    <row r="29" spans="1:8" x14ac:dyDescent="0.2">
      <c r="C29" s="266"/>
    </row>
    <row r="30" spans="1:8" x14ac:dyDescent="0.2">
      <c r="B30" s="265"/>
    </row>
  </sheetData>
  <mergeCells count="1">
    <mergeCell ref="B1:C1"/>
  </mergeCells>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33</vt:i4>
      </vt:variant>
    </vt:vector>
  </HeadingPairs>
  <TitlesOfParts>
    <vt:vector size="33" baseType="lpstr">
      <vt:lpstr>ΚΛΙΚ ΕΔΩ!!</vt:lpstr>
      <vt:lpstr>ΕΙΣΑΓΩΓΗ</vt:lpstr>
      <vt:lpstr>ΛΟΓΙΣΤΙΚΗ</vt:lpstr>
      <vt:lpstr>LOG1</vt:lpstr>
      <vt:lpstr>LOG2</vt:lpstr>
      <vt:lpstr>LOG3</vt:lpstr>
      <vt:lpstr>DEPRECIATION</vt:lpstr>
      <vt:lpstr>BYTE1</vt:lpstr>
      <vt:lpstr>BYTE1-ΛΥΣΗ</vt:lpstr>
      <vt:lpstr>ΜΑΡΚΕΤΙΝΓΚ</vt:lpstr>
      <vt:lpstr>PRICE1</vt:lpstr>
      <vt:lpstr>MARKET-SHARE</vt:lpstr>
      <vt:lpstr>ΝΕΚΡΟ-ΣΗΜΕΙΟ</vt:lpstr>
      <vt:lpstr>BEP</vt:lpstr>
      <vt:lpstr>BEP W-PROFIT</vt:lpstr>
      <vt:lpstr>ΔΕΙΚΤΕΣ &amp; Ν.Σ.</vt:lpstr>
      <vt:lpstr>ΧΡΗΜΑΤΟΔΟΤΗΣΗ</vt:lpstr>
      <vt:lpstr>FINANCE</vt:lpstr>
      <vt:lpstr>PROJECT-NPV</vt:lpstr>
      <vt:lpstr>LOAN</vt:lpstr>
      <vt:lpstr>ΣΤΑΤΙΣΤΙΚΗ</vt:lpstr>
      <vt:lpstr>ANALYSIS</vt:lpstr>
      <vt:lpstr>ΑΡΙΘΜΟΔΕΙΚΤΕΣ</vt:lpstr>
      <vt:lpstr>ECONOMICS</vt:lpstr>
      <vt:lpstr>BUDGET</vt:lpstr>
      <vt:lpstr>BUDGET-1</vt:lpstr>
      <vt:lpstr>BUDGET2</vt:lpstr>
      <vt:lpstr>BUDGET-2-ΛΥΣΗ</vt:lpstr>
      <vt:lpstr>ΜΕΡΙΣΜΟΣ-ΚΟΙΝΟΧΡΗΣΤΑ</vt:lpstr>
      <vt:lpstr>ABC</vt:lpstr>
      <vt:lpstr>ABC-ΛΥΣΗ</vt:lpstr>
      <vt:lpstr>AGING</vt:lpstr>
      <vt:lpstr>AGING-ΛΥΣΗ</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Valued Acer Customer</cp:lastModifiedBy>
  <cp:lastPrinted>2004-05-07T14:12:16Z</cp:lastPrinted>
  <dcterms:created xsi:type="dcterms:W3CDTF">1999-07-01T08:59:15Z</dcterms:created>
  <dcterms:modified xsi:type="dcterms:W3CDTF">2010-12-28T15:25:23Z</dcterms:modified>
</cp:coreProperties>
</file>