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1"/>
  </bookViews>
  <sheets>
    <sheet name="ΜΑΣΚΑ" sheetId="1" r:id="rId1"/>
    <sheet name="S1" sheetId="2" r:id="rId2"/>
    <sheet name="S21" sheetId="3" r:id="rId3"/>
    <sheet name="ΝΣ" sheetId="4" r:id="rId4"/>
  </sheets>
  <definedNames/>
  <calcPr fullCalcOnLoad="1"/>
</workbook>
</file>

<file path=xl/sharedStrings.xml><?xml version="1.0" encoding="utf-8"?>
<sst xmlns="http://schemas.openxmlformats.org/spreadsheetml/2006/main" count="214" uniqueCount="174">
  <si>
    <t>ΠΩΛΗΣΕΙΣ</t>
  </si>
  <si>
    <t>ΚΟΣΤΟΣ ΠΩΛΗΣΕΩΝ</t>
  </si>
  <si>
    <t xml:space="preserve">ΜΙΚΤΑ ΚΕΡΔΗ </t>
  </si>
  <si>
    <t>ΛΕΙΤΟΥΡΓΙΚΑ ΕΞΟΔΑ</t>
  </si>
  <si>
    <t>ΚΕΡΔΗ ΠΡΟ ΤΟΚΩΝ ΚΑΙ ΦΟΡΩΝ</t>
  </si>
  <si>
    <t>ΤΟΚΟΙ</t>
  </si>
  <si>
    <t>ΚΕΡΔΗ ΧΡΗΣΕΩΣ ΠΡΟ ΦΟΡΩΝ</t>
  </si>
  <si>
    <t xml:space="preserve">S1) Δίδονται </t>
  </si>
  <si>
    <t xml:space="preserve">S2)Δίδονται </t>
  </si>
  <si>
    <t>ΔΙΑΘΕΣΙΜΑ</t>
  </si>
  <si>
    <t>ΑΠΑΙΤΗΣΕΙΣ</t>
  </si>
  <si>
    <t>ΑΠΟΘΕΜΑΤΑ</t>
  </si>
  <si>
    <t>ΚΑΘΑΡΑ ΠΑΓΙΑ</t>
  </si>
  <si>
    <t>ΣΥΝΟΛΟ ΕΝΕΡΓΗΤΙΚΟΥ</t>
  </si>
  <si>
    <t>ΤΑ ΑΠΟΘΕΜΑΤΑ  ΕΙΝΑΙ :</t>
  </si>
  <si>
    <t>S3)  Άσκηση</t>
  </si>
  <si>
    <t>AA TAMEIOY</t>
  </si>
  <si>
    <t>ΕΙΣΠΡΑΞΕΙΣ</t>
  </si>
  <si>
    <t>ΠΛΗΡΩΜΕΣ</t>
  </si>
  <si>
    <t>ΤΑ ΤΑΜΕΙΟΥ</t>
  </si>
  <si>
    <t>S4) Άσκηση</t>
  </si>
  <si>
    <t>ΑΓΟΡΑ</t>
  </si>
  <si>
    <t>ΣΥΝΤΕΛΕΣΤΗΣ</t>
  </si>
  <si>
    <t>ΑΠΟΣΒΕΣΕΙΣ</t>
  </si>
  <si>
    <t>S5) Άσκηση</t>
  </si>
  <si>
    <t xml:space="preserve">Η επιχείρηση BYTE Α.Ε. εμπορεύεται Η/Υ ιδρύθηκε την 1/1/2003 με Μετοχικό Κεφάλαιο 22.000 € καταβεβλημένου σε μετρητά. Η μέση τιμή αγοράς ενός Η/Υ είναι 500 € (+18% ΦΠΑ) και η μέση τιμή πώλησης 1.000 € (+18% ΦΠΑ) . Τον Ιανουάριο του 2003, αγόρασε 20 Η/Υ και πούλησε 15 Η/Υ. Για τον  Ιανουάριο ο ΦΠΑ είναι </t>
  </si>
  <si>
    <t>ΦΠΑ =</t>
  </si>
  <si>
    <t>ΤΑ =</t>
  </si>
  <si>
    <t xml:space="preserve">ΤΠΩΛ = </t>
  </si>
  <si>
    <t>ΑΓΟΡΕΣ</t>
  </si>
  <si>
    <t>ALGITA</t>
  </si>
  <si>
    <t>ΕΒΓΑ</t>
  </si>
  <si>
    <t>ΔΕΛΤΑ</t>
  </si>
  <si>
    <t>ΚΡΙ-ΚΡΙ</t>
  </si>
  <si>
    <t>ΤΑ</t>
  </si>
  <si>
    <t>ΠΑΓΙΑ</t>
  </si>
  <si>
    <t>ΤΠΩΛ =</t>
  </si>
  <si>
    <t>ΠΑΓΙΑ =</t>
  </si>
  <si>
    <t>Ν.Σ. =</t>
  </si>
  <si>
    <t>ΚΕΦΑΛΑΙΟ</t>
  </si>
  <si>
    <t>ΕΠΙΤΟΚΙΟ</t>
  </si>
  <si>
    <t>ΠΕΡΙΟΔΟΙ</t>
  </si>
  <si>
    <t>ΜΕΛΟΥΣΑ ΑΞΙΑ</t>
  </si>
  <si>
    <t>Εβδομάδα 1</t>
  </si>
  <si>
    <t>Εβδομάδα 2</t>
  </si>
  <si>
    <t>Δευτέρα</t>
  </si>
  <si>
    <t>Τρίτη</t>
  </si>
  <si>
    <t>Τετάρτη</t>
  </si>
  <si>
    <t>Πέμπτη</t>
  </si>
  <si>
    <t>Παρασκευή</t>
  </si>
  <si>
    <t>Σάββατο</t>
  </si>
  <si>
    <t>AVERAGE =</t>
  </si>
  <si>
    <t>AA</t>
  </si>
  <si>
    <t>ATOMA/PITSA</t>
  </si>
  <si>
    <t>ATOMA</t>
  </si>
  <si>
    <t>ΠΙΤΣΑ</t>
  </si>
  <si>
    <t>ΑΝΑΨΥΚΤΙΚΟ</t>
  </si>
  <si>
    <t>ΚΟΣΤΟΣ ΠΑΡΤΥ</t>
  </si>
  <si>
    <r>
      <t>S23)</t>
    </r>
    <r>
      <rPr>
        <sz val="12"/>
        <rFont val="Arial"/>
        <family val="2"/>
      </rPr>
      <t xml:space="preserve"> Ένα κατάστημα αθλητικών ειδών αγόρασε και πούλησε τα παρακάτω είδη</t>
    </r>
  </si>
  <si>
    <t>ΕΙΔΟΣ</t>
  </si>
  <si>
    <t>ΠΑΠΟΥΤΣΙΑ</t>
  </si>
  <si>
    <t>ΜΠΑΛΕΣ</t>
  </si>
  <si>
    <t>ΦΟΡΜΕΣ</t>
  </si>
  <si>
    <t>ΤΕΜΑΧΙΑ</t>
  </si>
  <si>
    <t>ΤΙΜΗ ΑΓΟΡΑΣ</t>
  </si>
  <si>
    <t>ΤΙΜΗ ΠΩΛΗΣΗΣ</t>
  </si>
  <si>
    <t xml:space="preserve">To μικτό κέρδος της επιχείρησης είναι: </t>
  </si>
  <si>
    <t>ΜΙΚΤΟ ΚΕΡΔΟΣ</t>
  </si>
  <si>
    <t>Συνολικές πωλήσεις</t>
  </si>
  <si>
    <t>Πωλήσεις παιδικών γραφείων</t>
  </si>
  <si>
    <t>των συνολικών πωλήσεων</t>
  </si>
  <si>
    <t>Συνολικές πωλήσεις =</t>
  </si>
  <si>
    <t>Πωλήσεις παιδικών γραφείων =</t>
  </si>
  <si>
    <t>Πωλήσεις σε αναψυκτικά</t>
  </si>
  <si>
    <t>Ποσοστό πωλήσεων σε αναψυκτικά</t>
  </si>
  <si>
    <t>Το 1998 ένα εισιτήριο αγώνα Μπάσκετ Α’ Κατηγορίας κόστιζε 2500 δρχ.</t>
  </si>
  <si>
    <t xml:space="preserve">Tο ποσοστό αύξησης της τιμής είναι : </t>
  </si>
  <si>
    <t>(Τ1-Το) / Το</t>
  </si>
  <si>
    <t>ΤΥΠΟΣ</t>
  </si>
  <si>
    <t>Τ1 =</t>
  </si>
  <si>
    <t>Το =</t>
  </si>
  <si>
    <t>Τιμή Ιουλίου =</t>
  </si>
  <si>
    <t>Εκπτωση =</t>
  </si>
  <si>
    <t>Τιμή Αυγούστου =</t>
  </si>
  <si>
    <t xml:space="preserve">Το ποσοστό της παραγγελίας που δεν εκτελέσθηκε (ανεκτέλεστες παραγγελίες)είναι : </t>
  </si>
  <si>
    <t>Παρήγγειλε</t>
  </si>
  <si>
    <t>Παρέλαβε</t>
  </si>
  <si>
    <t xml:space="preserve">Ποσοστό ανεκτέλεστης παραγγελίας = </t>
  </si>
  <si>
    <t>Αρχική Τιμή  =</t>
  </si>
  <si>
    <t>Ποσό έκπτωσης =</t>
  </si>
  <si>
    <t>Νέα Τιμή  =</t>
  </si>
  <si>
    <r>
      <t>S21)</t>
    </r>
    <r>
      <rPr>
        <sz val="12"/>
        <rFont val="Arial"/>
        <family val="2"/>
      </rPr>
      <t xml:space="preserve"> Ο Γ. Γρηγορίου με την οικογένεια του πήγε εκδρομή στις Πρέσπες. Όταν ξεκίνησε από την Λάρισα  είχε 800 € στο πορτοφόλι του. Πλήρωσε για μεταφορικά 120 € , για φαγητό 150 € και για καφέ και αναψυκτικά 75 €0 Ε. Το βράδυ που επέστρεψε, τα χρήματα που είχε στο πορτοφόλι του ήταν :</t>
    </r>
  </si>
  <si>
    <r>
      <t>S22)</t>
    </r>
    <r>
      <rPr>
        <sz val="12"/>
        <rFont val="Arial"/>
        <family val="2"/>
      </rPr>
      <t xml:space="preserve"> Σπουδαστές του TEI σχεδιάζουν ένα πάρτι. Μία πίτσα αναλογεί σε 4 άτομα. Υπολογίζουν να παρευρεθούν 60 άτομα. Μία πίτσα κοστίζει 15 €  και ένα αναψυκτικό κοστίζει 1 € . Πόσο υπολογίζετε να κοστίσει το πάρτι συνολικά; </t>
    </r>
  </si>
  <si>
    <r>
      <t>S24)</t>
    </r>
    <r>
      <rPr>
        <sz val="12"/>
        <rFont val="Arial"/>
        <family val="2"/>
      </rPr>
      <t xml:space="preserve">  Οι πωλήσεις παιδικών γραφείων της ΣΑΤΟ Α.Ε. αντιπροσωπεύουν το 30% των συνολικών πωλήσεων της επιχείρησης. Αν οι συνολικές πωλήσεις το 2004 είναι 6,100,000 € , τότε  οι πωλήσεις σε παιδικά γραφεία είναι :</t>
    </r>
  </si>
  <si>
    <r>
      <t>S25)</t>
    </r>
    <r>
      <rPr>
        <sz val="12"/>
        <rFont val="Arial"/>
        <family val="2"/>
      </rPr>
      <t xml:space="preserve">  Οι πωλήσεις σε αναψυκτικά της επιχείρησης GOODY’s Α.Ε. το 2004 είναι 1,500,000 €, και οι συνολικές πωλήσεις της επιχείρησης είναι 19,000,000 € Το ποσοστό των πωλήσεων της επιχείρησης σε αναψυκτικά είναι :</t>
    </r>
  </si>
  <si>
    <r>
      <t>S26)</t>
    </r>
    <r>
      <rPr>
        <sz val="12"/>
        <rFont val="Arial"/>
        <family val="2"/>
      </rPr>
      <t xml:space="preserve">  Το 1997 ένα εισιτήριο αγώνα Μπάσκετ Α’ Κατηγορίας κόστιζε 1800 δρχ.</t>
    </r>
  </si>
  <si>
    <r>
      <t>S27)</t>
    </r>
    <r>
      <rPr>
        <sz val="12"/>
        <rFont val="Arial"/>
        <family val="2"/>
      </rPr>
      <t xml:space="preserve">  Ο ΑΝΤ1  τον Αύγουστο 2001 κάνει έκπτωση στην τηλεοπτική ζώνη 21.00’- 23.00’ μ.μ. 15% στην τιμή 1’’. Αν τον Ιούλιο 2001 το 1’’ κόστιζε 25,000 δρχ , να ευρεθεί η τιμή του τον Αύγουστο.</t>
    </r>
  </si>
  <si>
    <r>
      <t>S28)</t>
    </r>
    <r>
      <rPr>
        <sz val="12"/>
        <rFont val="Arial"/>
        <family val="2"/>
      </rPr>
      <t xml:space="preserve"> Το Βιβλιοπωλείο ΚΕΡΑΜΟΣ παρήγγειλε 400 ημερολόγια , αλλά παρέλαβε 150.</t>
    </r>
  </si>
  <si>
    <r>
      <t>S29)</t>
    </r>
    <r>
      <rPr>
        <sz val="12"/>
        <rFont val="Arial"/>
        <family val="2"/>
      </rPr>
      <t xml:space="preserve">  Η τιμή ενός ποδηλάτου στο Continent Λάρισας είναι 27,000 δρχ. Για την εβδομάδα 12/7-18/7  το 2001 προσφέρεται έκπτωση 30%. Ποιό είναι το ποσό της έκπτωσης ;</t>
    </r>
  </si>
  <si>
    <r>
      <t>S30)</t>
    </r>
    <r>
      <rPr>
        <sz val="12"/>
        <rFont val="Arial"/>
        <family val="2"/>
      </rPr>
      <t xml:space="preserve"> Τα καταστήματα Zarra έχουν εκπτώσεις 40% και προσφέρουν  ένα δερμάτινο μπουφάν στην τιμή των  9,000 Ε. Να ευρεθεί η παλιά τιμή(προ της έκπτωσης)</t>
    </r>
  </si>
  <si>
    <t>ΒΑΣΙΚΑ ΣΤΟΙΧΕΙΑ</t>
  </si>
  <si>
    <t>ΠΟΣΟΤΗΤΑ ΠΩΛΗΘΕΝΤΩΝ</t>
  </si>
  <si>
    <t>ΕΝΟΙΚΙΟ/ΜΗΝΑ</t>
  </si>
  <si>
    <t>ΜΙΣΘΟΙ/ΜΗΝΑ</t>
  </si>
  <si>
    <t>ΑΠΟΤΕΛΕΣΜΑΤΑ</t>
  </si>
  <si>
    <t>ΚΟΣΤΟΣ ΠΩΛΗΘΕΝΤΩΝ</t>
  </si>
  <si>
    <t>ΕΞΟΔΑ</t>
  </si>
  <si>
    <t>ΚΕΡΔΗ ΠΡΟ ΦΟΡΩΝ</t>
  </si>
  <si>
    <t>ΕΝΟΙΚΙΟ</t>
  </si>
  <si>
    <t>ΜΙΣΘΟΙ</t>
  </si>
  <si>
    <t>ΙΚΑ ΕΡΓΟΔΟΤΗ=</t>
  </si>
  <si>
    <t>ΔΑΠΑΝΗ ΜΙΣΘΟΔΟΣΙΑΣ=</t>
  </si>
  <si>
    <t>ΣΥΝΤΕΛΕΣΤΗΣ ΑΠΟΣΒΕΣΗΣ=</t>
  </si>
  <si>
    <t>ΑΠΟΣΒΕΣΕΙΣ=</t>
  </si>
  <si>
    <t>ΚΕΡΔΗ ΠΡΟ ΤΟΚΩΝ&amp;ΦΟΡΩΝ</t>
  </si>
  <si>
    <t>Αυτοκίνητο TOYOTA COROLLA αγοράσθηκε μετρητοίς στις 5/1/2004 αντί 14,000. Συντελεστής απόσβεσης επιβατηγών αυτοκινήτων = 12% ετήσιος. Οι  συνολικές (συσσωρευμένες) αποσβέσεις που έγιναν μέχρι τις 31/12/2008  είναι :</t>
  </si>
  <si>
    <t>Ποια είναι η καθαρη αξία στις 31/12/2008 ;</t>
  </si>
  <si>
    <t>ΕΤΗ</t>
  </si>
  <si>
    <t>Η επιχείρηση BYTE Α.Ε. εμπορεύεται Η/Υ ιδρύθηκε την 1/1/2002 με Μετοχικό Κεφάλαιο 22.000  € καταβεβλημένου σε μετρητά. Η μέση τιμή αγοράς ενός Η/Υ είναι 500 € και η μέση τιμή πώλησης 1.000 €. Υπολογίζει να πουλήσει 1 Η/Υ τον Ιανουάριο, 2 τον Φεβρουάριο και 3 τον Μάρτιο. Τα έξοδα της επιχείρησης είναι μόνο το ενοίκιο (100 €) που καταβάλλεται την 10η ημέρα κάθε μήνα. Αγοράζει όσα ακριβώς τεμάχια πουλάει. (μηδέν απόθεμα). Τα κέρδη και το ταμείο στις 31/3/2002 θα είναι  :</t>
  </si>
  <si>
    <r>
      <t>S9)</t>
    </r>
    <r>
      <rPr>
        <sz val="12"/>
        <rFont val="Arial"/>
        <family val="2"/>
      </rPr>
      <t xml:space="preserve"> Δίδονται οι παρακάτω παρατηρήσεις των πωλήσεων  2 εβδομάδων σε ένα κατάστημα οπτικών. Ο Μέσος όρος των ημερήσιων πωλήσεων είναι :</t>
    </r>
  </si>
  <si>
    <t>ΝΕΚΡΟ ΣΗΜΕΙΟ</t>
  </si>
  <si>
    <t>ΔΙΔΟΝΤΑΙ :</t>
  </si>
  <si>
    <t>ΔΟΚΙΜΗ :</t>
  </si>
  <si>
    <t>ΠΑΓΙΑ ΕΞΟΔΑ =</t>
  </si>
  <si>
    <t>Τιμή  Αγοράς  =</t>
  </si>
  <si>
    <t>ΚΟΣΤΟΣ Π/ΝΤΩΝ</t>
  </si>
  <si>
    <t>Τιμή  Πώλησης =</t>
  </si>
  <si>
    <t>Ν.Σ.( σε ΤΕΜΑΧΙΑ) =</t>
  </si>
  <si>
    <t>ΚΑΘΑΡΟ ΚΕΡΔΟΣ</t>
  </si>
  <si>
    <t>Ν.Σ.( σε ΕΥΡΩ)  =</t>
  </si>
  <si>
    <t>ΠΟΣΟΤΗΤΑ</t>
  </si>
  <si>
    <t>ΜΕΤΑΒΛΗΤΑ</t>
  </si>
  <si>
    <t>ΣΥΝ.ΕΞΟΔΩΝ</t>
  </si>
  <si>
    <t>ΚΕΡΔΗ</t>
  </si>
  <si>
    <r>
      <rPr>
        <b/>
        <u val="single"/>
        <sz val="12"/>
        <color indexed="10"/>
        <rFont val="Arial"/>
        <family val="2"/>
      </rPr>
      <t>S6)</t>
    </r>
    <r>
      <rPr>
        <sz val="12"/>
        <rFont val="Arial"/>
        <family val="2"/>
      </rPr>
      <t xml:space="preserve"> Δίνονται οι πωλήσεις στον κλάδο βιομηχανικού παγωτού το 2000 : ALGITA = 40 δις, ΕΒΓΑ = 60 δις, ΔΕΛΤΑ = 70 δις, ΚΡΙ-ΚΡΙ  = 20  δις, ΝΕΣΤΛΕ = 30 δις. Το μερίδιο της ΔΕΛΤΑ είναι :</t>
    </r>
  </si>
  <si>
    <r>
      <rPr>
        <b/>
        <u val="single"/>
        <sz val="12"/>
        <color indexed="10"/>
        <rFont val="Arial"/>
        <family val="2"/>
      </rPr>
      <t>S7)</t>
    </r>
    <r>
      <rPr>
        <sz val="12"/>
        <rFont val="Arial"/>
        <family val="2"/>
      </rPr>
      <t xml:space="preserve"> Ένα μπαρ σερβίρει μόνο μπύρες.Ένα κιβώτιο 20 φιαλών έχει Τιμή Αγοράς 20. Η Τιμή Πώλησης μιας φιάλης είναι 3,50. Το κατάστημα έχει μηνιαίο ενοίκιο 500 και απασχολεί 2 σερβιτόρους με βασικό μηνιαίο μισθό 850. έκαστος. Πόσες φιάλες μπύρας πρέπει να πουλήσει μηνιαίως ώστε να βρεθει στο Ν.Σ. ;</t>
    </r>
  </si>
  <si>
    <r>
      <rPr>
        <b/>
        <u val="single"/>
        <sz val="12"/>
        <color indexed="10"/>
        <rFont val="Arial"/>
        <family val="2"/>
      </rPr>
      <t>S8)</t>
    </r>
    <r>
      <rPr>
        <sz val="12"/>
        <rFont val="Arial"/>
        <family val="2"/>
      </rPr>
      <t xml:space="preserve"> Ο Δ. Δρογκούλας κατέθεσε 800,000 € σε έναν λογαριασμό Ταμιευτηρίου της Τράπεζας Εργασίας για 5 έτη με ετησίως ανατοκιζόμενο επιτόκιο 8%.Τί ποσό θα έχει συσσωρευτεί στο τέλος του 5ου έτους</t>
    </r>
  </si>
  <si>
    <r>
      <rPr>
        <b/>
        <sz val="11"/>
        <color indexed="10"/>
        <rFont val="Calibri"/>
        <family val="2"/>
      </rPr>
      <t>Α</t>
    </r>
    <r>
      <rPr>
        <sz val="10"/>
        <rFont val="Arial Greek"/>
        <family val="0"/>
      </rPr>
      <t>-ΧΩΡΕΣ ΕΙΣΑΓΩΓΗΣ ΜΑΣΚΩΝ</t>
    </r>
  </si>
  <si>
    <r>
      <rPr>
        <b/>
        <sz val="11"/>
        <color indexed="10"/>
        <rFont val="Calibri"/>
        <family val="2"/>
      </rPr>
      <t>Β-</t>
    </r>
    <r>
      <rPr>
        <sz val="10"/>
        <rFont val="Arial Greek"/>
        <family val="0"/>
      </rPr>
      <t>ΕΠΕΝΔΥΣΗ ΣΕ ΠΑΡΑΓΩΓΗ ΜΑΣΚΩΝ ΣΤΗΝ ΛΑΡΙΣΑ</t>
    </r>
  </si>
  <si>
    <t>Γ- ΥΠΟΘΕΣΕΙΣ</t>
  </si>
  <si>
    <t>ΠΛΗΘΥΣΜΟΣ ΕΛΛΑΔΑΣ</t>
  </si>
  <si>
    <r>
      <rPr>
        <b/>
        <sz val="11"/>
        <color indexed="10"/>
        <rFont val="Calibri"/>
        <family val="2"/>
      </rPr>
      <t>Δ-</t>
    </r>
    <r>
      <rPr>
        <sz val="10"/>
        <rFont val="Arial Greek"/>
        <family val="0"/>
      </rPr>
      <t>ΑΝ ΚΑΤΑΘΕΣΕΙ ΤΑ ΚΕΡΔΗ ΣΕ ΤΡΑΠΕΖΑ</t>
    </r>
  </si>
  <si>
    <r>
      <t xml:space="preserve">Π.Χ.ΘΕΛΟΥΜΕ ΤΟ </t>
    </r>
    <r>
      <rPr>
        <b/>
        <sz val="10"/>
        <color indexed="10"/>
        <rFont val="Calibri"/>
        <family val="2"/>
      </rPr>
      <t>ΜΕΡΙΔΙΟ</t>
    </r>
    <r>
      <rPr>
        <b/>
        <sz val="10"/>
        <color indexed="8"/>
        <rFont val="Calibri"/>
        <family val="2"/>
      </rPr>
      <t xml:space="preserve"> ΙΣΠΑΝΙΑΣ</t>
    </r>
  </si>
  <si>
    <t>1)ΑΓΟΡΑ ΜΗΧΑΝΗΣ</t>
  </si>
  <si>
    <t>ΔΟΚΙΜΗ</t>
  </si>
  <si>
    <t>ΑΝΑΓΚΗ ΣΕ ΜΑΣΚΕΣ 1 ΑΤΟΜΟΥ/ΜΗΝΑ</t>
  </si>
  <si>
    <t>ΕΤΗΣΙΟ ΕΠΙΤΟΚΙΟ</t>
  </si>
  <si>
    <t>CHINA</t>
  </si>
  <si>
    <r>
      <t>ΣΥΝΤ.</t>
    </r>
    <r>
      <rPr>
        <b/>
        <sz val="11"/>
        <color indexed="10"/>
        <rFont val="Calibri"/>
        <family val="2"/>
      </rPr>
      <t>ΑΠΟΣΒΕΣΗΣ</t>
    </r>
  </si>
  <si>
    <t>ΑΝΑΓΚΗ ΣΕ ΜΑΣΚΕΣ ΕΤΗΣΙΩΣ</t>
  </si>
  <si>
    <t>ΕΤΗ ΚΑΤΑΘΕΣΗΣ</t>
  </si>
  <si>
    <t>USA</t>
  </si>
  <si>
    <t>ΕΤΗΣΙΑ ΔΑΠ.ΑΠΟΣΒΕΣΗΣ</t>
  </si>
  <si>
    <t>ΚΟΣΤΟΣ ΠΩΛ</t>
  </si>
  <si>
    <t xml:space="preserve">ΑΝ ΜΕΡΙΔΙΟ ΛΑΡΙΣΑΙΚΗΣ ΕΠΙΧΕΙΡΗΣΗΣ </t>
  </si>
  <si>
    <t>6ΜΗΝΙΑΙΟΣ ΑΝΑTΟΚΙΣΜΟΣ</t>
  </si>
  <si>
    <t>FRANCE</t>
  </si>
  <si>
    <t>ΠΩΛΗΣΕΙΣ ΕΤΗΣΙΩΣ ΣΕ ΜΑΣΚΕΣ</t>
  </si>
  <si>
    <t>ΕΧΟΥΜΕ ΜΕΛΛΟΥΣΑ ΑΞΙΑ</t>
  </si>
  <si>
    <t>SPAIN</t>
  </si>
  <si>
    <t>2) ΕΡΓΑΖΟΜΕΝΟΙ</t>
  </si>
  <si>
    <t>ΤΟΤΕ ΑΠΟΤΕΛΕΣΜΑ ΧΡΗΣΗΣ ΕΊΝΑΙ</t>
  </si>
  <si>
    <r>
      <rPr>
        <b/>
        <sz val="11"/>
        <color indexed="10"/>
        <rFont val="Calibri"/>
        <family val="2"/>
      </rPr>
      <t>ή</t>
    </r>
    <r>
      <rPr>
        <sz val="10"/>
        <rFont val="Arial Greek"/>
        <family val="0"/>
      </rPr>
      <t xml:space="preserve"> με ΤΥΠΟ FV</t>
    </r>
  </si>
  <si>
    <t>ITALY</t>
  </si>
  <si>
    <t>ΜΙΚΤΟΣ ΜΙΣΘΟΣ</t>
  </si>
  <si>
    <t>ΚΑΘ.ΚΕΡΔΟΣ</t>
  </si>
  <si>
    <r>
      <rPr>
        <b/>
        <sz val="11"/>
        <color indexed="10"/>
        <rFont val="Calibri"/>
        <family val="2"/>
      </rPr>
      <t>ή</t>
    </r>
    <r>
      <rPr>
        <sz val="10"/>
        <rFont val="Arial Greek"/>
        <family val="0"/>
      </rPr>
      <t xml:space="preserve"> με FORMULA</t>
    </r>
  </si>
  <si>
    <t>GREECE</t>
  </si>
  <si>
    <t>ΙΚΑ ΕΡΓΟΔΟΤΗ</t>
  </si>
  <si>
    <t>TOTAL</t>
  </si>
  <si>
    <t>ΕΤΗΣΙΑ ΔΑΠΑΝΗ ΜΙΣΘ.</t>
  </si>
  <si>
    <t>ΝΕΚΡΟ ΣΗΜΕΙΟ=ΠΑΓΙΑ/(ΤΠΩΛ-ΜΕΤ.ΚΟΣ.)</t>
  </si>
  <si>
    <t>3) ΤΙΜΗ ΠΩΛΗΣΗΣ &amp;ΜΕΤ.ΚΟΣΤΟΣ ΜΑΣΚΑΣ</t>
  </si>
  <si>
    <r>
      <t>ΜΕΤ.ΚΟΣΤΟΣ(</t>
    </r>
    <r>
      <rPr>
        <b/>
        <sz val="8"/>
        <color indexed="8"/>
        <rFont val="Calibri"/>
        <family val="2"/>
      </rPr>
      <t>ΥΦΑΣΜΑ+ΛΑΣΤΙΧΟ</t>
    </r>
    <r>
      <rPr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</si>
</sst>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,##0_ ;[Red]\-#,##0\ "/>
    <numFmt numFmtId="177" formatCode="#,##0\ &quot;€&quot;"/>
    <numFmt numFmtId="178" formatCode="[$-408]dddd\,\ d\ mmmm\ yyyy"/>
    <numFmt numFmtId="179" formatCode="0.0%"/>
    <numFmt numFmtId="180" formatCode="0.0"/>
    <numFmt numFmtId="181" formatCode="#,##0.0\ &quot;€&quot;;[Red]\-#,##0.0\ &quot;€&quot;"/>
    <numFmt numFmtId="182" formatCode="_-* #,##0_-;\-* #,##0_-;_-* &quot;-&quot;??_-;_-@_-"/>
    <numFmt numFmtId="183" formatCode="#,##0\ _€"/>
    <numFmt numFmtId="184" formatCode="#,##0.00\ &quot;€&quot;"/>
  </numFmts>
  <fonts count="71">
    <font>
      <sz val="10"/>
      <name val="Arial Greek"/>
      <family val="0"/>
    </font>
    <font>
      <sz val="8"/>
      <name val="Arial Greek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1"/>
      <name val="Arial Greek"/>
      <family val="0"/>
    </font>
    <font>
      <u val="single"/>
      <sz val="12"/>
      <name val="Arial"/>
      <family val="2"/>
    </font>
    <font>
      <sz val="12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0"/>
    </font>
    <font>
      <b/>
      <sz val="12"/>
      <name val="Arial Greek"/>
      <family val="0"/>
    </font>
    <font>
      <b/>
      <u val="single"/>
      <sz val="10"/>
      <color indexed="10"/>
      <name val="Arial Greek"/>
      <family val="0"/>
    </font>
    <font>
      <sz val="10"/>
      <color indexed="10"/>
      <name val="Arial Greek"/>
      <family val="0"/>
    </font>
    <font>
      <b/>
      <u val="single"/>
      <sz val="10"/>
      <color indexed="10"/>
      <name val="Arial"/>
      <family val="2"/>
    </font>
    <font>
      <sz val="10"/>
      <name val="Arial"/>
      <family val="2"/>
    </font>
    <font>
      <b/>
      <u val="single"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Greek"/>
      <family val="0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Greek"/>
      <family val="0"/>
    </font>
    <font>
      <b/>
      <u val="single"/>
      <sz val="10"/>
      <color rgb="FFFF0000"/>
      <name val="Arial Greek"/>
      <family val="0"/>
    </font>
    <font>
      <b/>
      <u val="single"/>
      <sz val="12"/>
      <color rgb="FFFF0000"/>
      <name val="Arial"/>
      <family val="2"/>
    </font>
    <font>
      <b/>
      <u val="single"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8" borderId="1" applyNumberFormat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justify" vertical="top" wrapText="1"/>
    </xf>
    <xf numFmtId="9" fontId="0" fillId="0" borderId="0" xfId="0" applyNumberFormat="1" applyAlignment="1">
      <alignment/>
    </xf>
    <xf numFmtId="0" fontId="0" fillId="34" borderId="12" xfId="0" applyFill="1" applyBorder="1" applyAlignment="1">
      <alignment/>
    </xf>
    <xf numFmtId="176" fontId="0" fillId="33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9" fontId="12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0" fillId="35" borderId="12" xfId="0" applyFill="1" applyBorder="1" applyAlignment="1">
      <alignment/>
    </xf>
    <xf numFmtId="3" fontId="0" fillId="36" borderId="0" xfId="0" applyNumberFormat="1" applyFill="1" applyAlignment="1">
      <alignment/>
    </xf>
    <xf numFmtId="9" fontId="0" fillId="36" borderId="0" xfId="0" applyNumberFormat="1" applyFill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0" fillId="36" borderId="0" xfId="0" applyNumberFormat="1" applyFill="1" applyAlignment="1">
      <alignment/>
    </xf>
    <xf numFmtId="0" fontId="0" fillId="36" borderId="12" xfId="0" applyFill="1" applyBorder="1" applyAlignment="1">
      <alignment/>
    </xf>
    <xf numFmtId="0" fontId="64" fillId="0" borderId="12" xfId="0" applyFont="1" applyBorder="1" applyAlignment="1">
      <alignment/>
    </xf>
    <xf numFmtId="0" fontId="65" fillId="0" borderId="12" xfId="0" applyFont="1" applyBorder="1" applyAlignment="1">
      <alignment/>
    </xf>
    <xf numFmtId="177" fontId="2" fillId="0" borderId="12" xfId="0" applyNumberFormat="1" applyFont="1" applyBorder="1" applyAlignment="1">
      <alignment horizontal="center" vertical="top" wrapText="1"/>
    </xf>
    <xf numFmtId="177" fontId="8" fillId="36" borderId="12" xfId="0" applyNumberFormat="1" applyFont="1" applyFill="1" applyBorder="1" applyAlignment="1">
      <alignment horizontal="center"/>
    </xf>
    <xf numFmtId="177" fontId="12" fillId="36" borderId="12" xfId="0" applyNumberFormat="1" applyFont="1" applyFill="1" applyBorder="1" applyAlignment="1">
      <alignment/>
    </xf>
    <xf numFmtId="177" fontId="8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3" fontId="2" fillId="36" borderId="11" xfId="0" applyNumberFormat="1" applyFont="1" applyFill="1" applyBorder="1" applyAlignment="1">
      <alignment horizontal="right" vertical="top" wrapText="1"/>
    </xf>
    <xf numFmtId="3" fontId="3" fillId="36" borderId="11" xfId="0" applyNumberFormat="1" applyFont="1" applyFill="1" applyBorder="1" applyAlignment="1">
      <alignment horizontal="right" vertical="top" wrapText="1"/>
    </xf>
    <xf numFmtId="0" fontId="0" fillId="36" borderId="0" xfId="0" applyFill="1" applyAlignment="1">
      <alignment/>
    </xf>
    <xf numFmtId="9" fontId="0" fillId="37" borderId="0" xfId="0" applyNumberFormat="1" applyFill="1" applyAlignment="1">
      <alignment horizontal="center"/>
    </xf>
    <xf numFmtId="0" fontId="66" fillId="0" borderId="0" xfId="0" applyFont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5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8" fillId="38" borderId="16" xfId="0" applyFont="1" applyFill="1" applyBorder="1" applyAlignment="1">
      <alignment horizontal="center"/>
    </xf>
    <xf numFmtId="177" fontId="18" fillId="39" borderId="12" xfId="49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177" fontId="18" fillId="34" borderId="12" xfId="0" applyNumberFormat="1" applyFont="1" applyFill="1" applyBorder="1" applyAlignment="1">
      <alignment/>
    </xf>
    <xf numFmtId="0" fontId="18" fillId="0" borderId="15" xfId="0" applyFont="1" applyBorder="1" applyAlignment="1">
      <alignment horizontal="center"/>
    </xf>
    <xf numFmtId="182" fontId="16" fillId="38" borderId="0" xfId="49" applyNumberFormat="1" applyFont="1" applyFill="1" applyBorder="1" applyAlignment="1">
      <alignment/>
    </xf>
    <xf numFmtId="0" fontId="16" fillId="0" borderId="17" xfId="0" applyFont="1" applyBorder="1" applyAlignment="1">
      <alignment/>
    </xf>
    <xf numFmtId="3" fontId="19" fillId="40" borderId="18" xfId="0" applyNumberFormat="1" applyFont="1" applyFill="1" applyBorder="1" applyAlignment="1" applyProtection="1">
      <alignment horizontal="center"/>
      <protection/>
    </xf>
    <xf numFmtId="0" fontId="16" fillId="0" borderId="19" xfId="0" applyFont="1" applyBorder="1" applyAlignment="1">
      <alignment/>
    </xf>
    <xf numFmtId="177" fontId="18" fillId="40" borderId="18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20" fillId="38" borderId="20" xfId="0" applyFont="1" applyFill="1" applyBorder="1" applyAlignment="1">
      <alignment horizontal="center"/>
    </xf>
    <xf numFmtId="0" fontId="20" fillId="38" borderId="21" xfId="0" applyFont="1" applyFill="1" applyBorder="1" applyAlignment="1">
      <alignment horizontal="center"/>
    </xf>
    <xf numFmtId="0" fontId="20" fillId="38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6" fillId="38" borderId="22" xfId="0" applyFont="1" applyFill="1" applyBorder="1" applyAlignment="1">
      <alignment horizontal="center"/>
    </xf>
    <xf numFmtId="182" fontId="16" fillId="38" borderId="12" xfId="49" applyNumberFormat="1" applyFont="1" applyFill="1" applyBorder="1" applyAlignment="1">
      <alignment horizontal="center"/>
    </xf>
    <xf numFmtId="0" fontId="16" fillId="41" borderId="22" xfId="0" applyFont="1" applyFill="1" applyBorder="1" applyAlignment="1">
      <alignment horizontal="center"/>
    </xf>
    <xf numFmtId="182" fontId="16" fillId="41" borderId="12" xfId="49" applyNumberFormat="1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67" fillId="0" borderId="0" xfId="0" applyFont="1" applyAlignment="1">
      <alignment/>
    </xf>
    <xf numFmtId="177" fontId="12" fillId="36" borderId="0" xfId="0" applyNumberFormat="1" applyFont="1" applyFill="1" applyAlignment="1">
      <alignment/>
    </xf>
    <xf numFmtId="9" fontId="12" fillId="36" borderId="0" xfId="0" applyNumberFormat="1" applyFont="1" applyFill="1" applyAlignment="1">
      <alignment/>
    </xf>
    <xf numFmtId="3" fontId="12" fillId="36" borderId="0" xfId="0" applyNumberFormat="1" applyFont="1" applyFill="1" applyAlignment="1">
      <alignment/>
    </xf>
    <xf numFmtId="0" fontId="13" fillId="42" borderId="12" xfId="0" applyFont="1" applyFill="1" applyBorder="1" applyAlignment="1">
      <alignment/>
    </xf>
    <xf numFmtId="0" fontId="0" fillId="42" borderId="12" xfId="0" applyFill="1" applyBorder="1" applyAlignment="1">
      <alignment/>
    </xf>
    <xf numFmtId="177" fontId="0" fillId="42" borderId="12" xfId="0" applyNumberFormat="1" applyFill="1" applyBorder="1" applyAlignment="1">
      <alignment/>
    </xf>
    <xf numFmtId="0" fontId="13" fillId="43" borderId="12" xfId="0" applyFont="1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12" xfId="0" applyNumberFormat="1" applyFill="1" applyBorder="1" applyAlignment="1">
      <alignment/>
    </xf>
    <xf numFmtId="0" fontId="65" fillId="43" borderId="12" xfId="0" applyFont="1" applyFill="1" applyBorder="1" applyAlignment="1">
      <alignment/>
    </xf>
    <xf numFmtId="177" fontId="0" fillId="43" borderId="12" xfId="0" applyNumberFormat="1" applyFill="1" applyBorder="1" applyAlignment="1">
      <alignment/>
    </xf>
    <xf numFmtId="183" fontId="14" fillId="43" borderId="12" xfId="0" applyNumberFormat="1" applyFont="1" applyFill="1" applyBorder="1" applyAlignment="1">
      <alignment/>
    </xf>
    <xf numFmtId="183" fontId="0" fillId="43" borderId="12" xfId="0" applyNumberFormat="1" applyFill="1" applyBorder="1" applyAlignment="1">
      <alignment/>
    </xf>
    <xf numFmtId="0" fontId="47" fillId="42" borderId="12" xfId="0" applyFont="1" applyFill="1" applyBorder="1" applyAlignment="1">
      <alignment/>
    </xf>
    <xf numFmtId="0" fontId="0" fillId="42" borderId="22" xfId="0" applyFill="1" applyBorder="1" applyAlignment="1">
      <alignment/>
    </xf>
    <xf numFmtId="0" fontId="47" fillId="44" borderId="12" xfId="0" applyFont="1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2" xfId="0" applyFill="1" applyBorder="1" applyAlignment="1">
      <alignment horizontal="center"/>
    </xf>
    <xf numFmtId="0" fontId="68" fillId="43" borderId="12" xfId="0" applyFont="1" applyFill="1" applyBorder="1" applyAlignment="1">
      <alignment/>
    </xf>
    <xf numFmtId="3" fontId="0" fillId="43" borderId="12" xfId="0" applyNumberFormat="1" applyFill="1" applyBorder="1" applyAlignment="1">
      <alignment horizontal="center"/>
    </xf>
    <xf numFmtId="0" fontId="69" fillId="42" borderId="12" xfId="0" applyFont="1" applyFill="1" applyBorder="1" applyAlignment="1">
      <alignment/>
    </xf>
    <xf numFmtId="0" fontId="59" fillId="42" borderId="12" xfId="0" applyFont="1" applyFill="1" applyBorder="1" applyAlignment="1">
      <alignment/>
    </xf>
    <xf numFmtId="177" fontId="0" fillId="44" borderId="12" xfId="0" applyNumberFormat="1" applyFill="1" applyBorder="1" applyAlignment="1">
      <alignment/>
    </xf>
    <xf numFmtId="0" fontId="70" fillId="44" borderId="12" xfId="0" applyFont="1" applyFill="1" applyBorder="1" applyAlignment="1">
      <alignment/>
    </xf>
    <xf numFmtId="9" fontId="0" fillId="42" borderId="12" xfId="0" applyNumberFormat="1" applyFill="1" applyBorder="1" applyAlignment="1">
      <alignment horizontal="center"/>
    </xf>
    <xf numFmtId="3" fontId="0" fillId="42" borderId="12" xfId="0" applyNumberFormat="1" applyFill="1" applyBorder="1" applyAlignment="1">
      <alignment/>
    </xf>
    <xf numFmtId="179" fontId="0" fillId="42" borderId="22" xfId="0" applyNumberFormat="1" applyFill="1" applyBorder="1" applyAlignment="1">
      <alignment/>
    </xf>
    <xf numFmtId="9" fontId="0" fillId="44" borderId="12" xfId="0" applyNumberFormat="1" applyFill="1" applyBorder="1" applyAlignment="1">
      <alignment/>
    </xf>
    <xf numFmtId="177" fontId="0" fillId="44" borderId="12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9" fontId="0" fillId="43" borderId="12" xfId="0" applyNumberFormat="1" applyFill="1" applyBorder="1" applyAlignment="1">
      <alignment horizontal="center"/>
    </xf>
    <xf numFmtId="179" fontId="70" fillId="42" borderId="22" xfId="0" applyNumberFormat="1" applyFont="1" applyFill="1" applyBorder="1" applyAlignment="1">
      <alignment/>
    </xf>
    <xf numFmtId="0" fontId="0" fillId="43" borderId="12" xfId="0" applyFill="1" applyBorder="1" applyAlignment="1">
      <alignment horizontal="center"/>
    </xf>
    <xf numFmtId="177" fontId="0" fillId="43" borderId="12" xfId="0" applyNumberFormat="1" applyFill="1" applyBorder="1" applyAlignment="1">
      <alignment horizontal="center"/>
    </xf>
    <xf numFmtId="3" fontId="0" fillId="44" borderId="12" xfId="0" applyNumberFormat="1" applyFill="1" applyBorder="1" applyAlignment="1">
      <alignment/>
    </xf>
    <xf numFmtId="183" fontId="0" fillId="0" borderId="0" xfId="0" applyNumberFormat="1" applyAlignment="1">
      <alignment/>
    </xf>
    <xf numFmtId="184" fontId="0" fillId="44" borderId="12" xfId="0" applyNumberFormat="1" applyFill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12.75390625" style="0" customWidth="1"/>
    <col min="3" max="3" width="7.875" style="0" customWidth="1"/>
    <col min="4" max="4" width="21.875" style="0" customWidth="1"/>
    <col min="5" max="5" width="11.375" style="0" customWidth="1"/>
    <col min="6" max="6" width="2.50390625" style="0" customWidth="1"/>
    <col min="7" max="7" width="13.625" style="0" customWidth="1"/>
    <col min="8" max="8" width="10.375" style="118" bestFit="1" customWidth="1"/>
    <col min="9" max="9" width="12.75390625" style="0" customWidth="1"/>
    <col min="10" max="10" width="19.625" style="0" customWidth="1"/>
    <col min="11" max="11" width="11.375" style="0" bestFit="1" customWidth="1"/>
    <col min="13" max="13" width="13.50390625" style="0" customWidth="1"/>
    <col min="14" max="14" width="11.375" style="0" bestFit="1" customWidth="1"/>
  </cols>
  <sheetData>
    <row r="1" spans="1:14" ht="14.25">
      <c r="A1" s="93" t="s">
        <v>137</v>
      </c>
      <c r="B1" s="84"/>
      <c r="C1" s="94"/>
      <c r="D1" s="95" t="s">
        <v>138</v>
      </c>
      <c r="E1" s="96"/>
      <c r="F1" s="96"/>
      <c r="G1" s="96"/>
      <c r="H1" s="97"/>
      <c r="I1" s="98" t="s">
        <v>139</v>
      </c>
      <c r="J1" s="87" t="s">
        <v>140</v>
      </c>
      <c r="K1" s="99">
        <v>10000000</v>
      </c>
      <c r="L1" s="93" t="s">
        <v>141</v>
      </c>
      <c r="M1" s="84"/>
      <c r="N1" s="84"/>
    </row>
    <row r="2" spans="1:14" ht="14.25">
      <c r="A2" s="100" t="s">
        <v>142</v>
      </c>
      <c r="B2" s="101"/>
      <c r="C2" s="94"/>
      <c r="D2" s="96" t="s">
        <v>143</v>
      </c>
      <c r="E2" s="102">
        <v>2000000</v>
      </c>
      <c r="F2" s="96"/>
      <c r="G2" s="103" t="s">
        <v>144</v>
      </c>
      <c r="H2" s="97"/>
      <c r="I2" s="87" t="s">
        <v>145</v>
      </c>
      <c r="J2" s="87"/>
      <c r="K2" s="99">
        <v>5</v>
      </c>
      <c r="L2" s="84" t="s">
        <v>146</v>
      </c>
      <c r="M2" s="84"/>
      <c r="N2" s="104">
        <v>0.04</v>
      </c>
    </row>
    <row r="3" spans="1:14" ht="14.25">
      <c r="A3" s="84" t="s">
        <v>147</v>
      </c>
      <c r="B3" s="105">
        <v>7000000</v>
      </c>
      <c r="C3" s="106"/>
      <c r="D3" s="107" t="s">
        <v>148</v>
      </c>
      <c r="E3" s="107">
        <v>0.2</v>
      </c>
      <c r="F3" s="96"/>
      <c r="G3" s="96" t="s">
        <v>0</v>
      </c>
      <c r="H3" s="108">
        <f>G10*E14</f>
        <v>1273333.3333333335</v>
      </c>
      <c r="I3" s="87" t="s">
        <v>149</v>
      </c>
      <c r="J3" s="87"/>
      <c r="K3" s="99">
        <f>K1*K2*12</f>
        <v>600000000</v>
      </c>
      <c r="L3" s="84" t="s">
        <v>150</v>
      </c>
      <c r="M3" s="84"/>
      <c r="N3" s="109">
        <v>2</v>
      </c>
    </row>
    <row r="4" spans="1:14" ht="12">
      <c r="A4" s="84" t="s">
        <v>151</v>
      </c>
      <c r="B4" s="105">
        <v>6000000</v>
      </c>
      <c r="C4" s="94"/>
      <c r="D4" s="96" t="s">
        <v>152</v>
      </c>
      <c r="E4" s="102">
        <f>E2*E3</f>
        <v>400000</v>
      </c>
      <c r="F4" s="96"/>
      <c r="G4" s="96" t="s">
        <v>153</v>
      </c>
      <c r="H4" s="108">
        <f>G10*E15</f>
        <v>509333.33333333343</v>
      </c>
      <c r="I4" s="87" t="s">
        <v>154</v>
      </c>
      <c r="J4" s="87"/>
      <c r="K4" s="110">
        <v>0.2</v>
      </c>
      <c r="L4" s="84" t="s">
        <v>155</v>
      </c>
      <c r="M4" s="84"/>
      <c r="N4" s="84"/>
    </row>
    <row r="5" spans="1:14" ht="12">
      <c r="A5" s="84" t="s">
        <v>156</v>
      </c>
      <c r="B5" s="105">
        <v>5000000</v>
      </c>
      <c r="C5" s="94"/>
      <c r="D5" s="96"/>
      <c r="E5" s="96"/>
      <c r="F5" s="96"/>
      <c r="G5" s="96" t="s">
        <v>67</v>
      </c>
      <c r="H5" s="108">
        <f>H3-H4</f>
        <v>764000</v>
      </c>
      <c r="I5" s="87" t="s">
        <v>157</v>
      </c>
      <c r="J5" s="87"/>
      <c r="K5" s="99">
        <f>K4*K3</f>
        <v>120000000</v>
      </c>
      <c r="L5" s="84" t="s">
        <v>158</v>
      </c>
      <c r="M5" s="84"/>
      <c r="N5" s="85">
        <f>35236000*(1+0.02)^4</f>
        <v>38140579.58976</v>
      </c>
    </row>
    <row r="6" spans="1:14" ht="14.25">
      <c r="A6" s="84" t="s">
        <v>159</v>
      </c>
      <c r="B6" s="105">
        <v>4000000</v>
      </c>
      <c r="C6" s="111">
        <f>4000000/27000000</f>
        <v>0.14814814814814814</v>
      </c>
      <c r="D6" s="96" t="s">
        <v>160</v>
      </c>
      <c r="E6" s="96">
        <v>20</v>
      </c>
      <c r="F6" s="96"/>
      <c r="G6" s="96" t="s">
        <v>106</v>
      </c>
      <c r="H6" s="108">
        <f>E4+E9</f>
        <v>764000</v>
      </c>
      <c r="I6" s="87" t="s">
        <v>161</v>
      </c>
      <c r="J6" s="87"/>
      <c r="K6" s="112"/>
      <c r="L6" s="93" t="s">
        <v>162</v>
      </c>
      <c r="M6" s="84"/>
      <c r="N6" s="85">
        <f>FV(0.04/2,2*2,,-K11)</f>
        <v>38140579.58976</v>
      </c>
    </row>
    <row r="7" spans="1:14" ht="14.25">
      <c r="A7" s="84" t="s">
        <v>163</v>
      </c>
      <c r="B7" s="105">
        <v>3000000</v>
      </c>
      <c r="C7" s="94"/>
      <c r="D7" s="96" t="s">
        <v>164</v>
      </c>
      <c r="E7" s="102">
        <v>1000</v>
      </c>
      <c r="F7" s="96"/>
      <c r="G7" s="96" t="s">
        <v>165</v>
      </c>
      <c r="H7" s="108">
        <f>H5-H6</f>
        <v>0</v>
      </c>
      <c r="I7" s="87"/>
      <c r="J7" s="87" t="s">
        <v>0</v>
      </c>
      <c r="K7" s="113">
        <f>K5*E14</f>
        <v>60000000</v>
      </c>
      <c r="L7" s="93" t="s">
        <v>166</v>
      </c>
      <c r="M7" s="84"/>
      <c r="N7" s="85">
        <f>K11*(1+(N2/2))^(N3*2)</f>
        <v>38140579.58976</v>
      </c>
    </row>
    <row r="8" spans="1:13" ht="12">
      <c r="A8" s="84" t="s">
        <v>167</v>
      </c>
      <c r="B8" s="105">
        <v>2000000</v>
      </c>
      <c r="C8" s="94"/>
      <c r="D8" s="96" t="s">
        <v>168</v>
      </c>
      <c r="E8" s="107">
        <v>0.3</v>
      </c>
      <c r="F8" s="96"/>
      <c r="G8" s="96"/>
      <c r="H8" s="97"/>
      <c r="I8" s="87"/>
      <c r="J8" s="87" t="s">
        <v>153</v>
      </c>
      <c r="K8" s="113">
        <f>K5*E15</f>
        <v>24000000</v>
      </c>
      <c r="L8" s="13"/>
      <c r="M8" s="28"/>
    </row>
    <row r="9" spans="1:11" ht="14.25">
      <c r="A9" s="84" t="s">
        <v>169</v>
      </c>
      <c r="B9" s="105">
        <f>SUM(B3:B8)</f>
        <v>27000000</v>
      </c>
      <c r="C9" s="94"/>
      <c r="D9" s="103" t="s">
        <v>170</v>
      </c>
      <c r="E9" s="102">
        <f>20*1000*14+20*14*1000*0.3</f>
        <v>364000</v>
      </c>
      <c r="F9" s="96"/>
      <c r="G9" s="96"/>
      <c r="H9" s="97"/>
      <c r="I9" s="87"/>
      <c r="J9" s="87" t="s">
        <v>67</v>
      </c>
      <c r="K9" s="113">
        <f>K7-K8</f>
        <v>36000000</v>
      </c>
    </row>
    <row r="10" spans="4:11" ht="12">
      <c r="D10" s="96" t="s">
        <v>171</v>
      </c>
      <c r="E10" s="96"/>
      <c r="F10" s="96"/>
      <c r="G10" s="114">
        <f>(E4+E9)/(E14-E15)</f>
        <v>2546666.666666667</v>
      </c>
      <c r="H10" s="97"/>
      <c r="I10" s="87"/>
      <c r="J10" s="87" t="s">
        <v>106</v>
      </c>
      <c r="K10" s="113">
        <f>E4+E9</f>
        <v>764000</v>
      </c>
    </row>
    <row r="11" spans="4:11" ht="12">
      <c r="D11" s="96" t="s">
        <v>171</v>
      </c>
      <c r="E11" s="96"/>
      <c r="F11" s="96"/>
      <c r="G11" s="114">
        <f>764000/0.3</f>
        <v>2546666.666666667</v>
      </c>
      <c r="H11" s="97"/>
      <c r="I11" s="87"/>
      <c r="J11" s="87" t="s">
        <v>165</v>
      </c>
      <c r="K11" s="113">
        <f>K9-K10</f>
        <v>35236000</v>
      </c>
    </row>
    <row r="12" spans="4:11" ht="12">
      <c r="D12" s="96"/>
      <c r="E12" s="96"/>
      <c r="F12" s="96"/>
      <c r="G12" s="96"/>
      <c r="H12" s="97"/>
      <c r="K12" s="115"/>
    </row>
    <row r="13" spans="4:11" ht="12">
      <c r="D13" s="96" t="s">
        <v>172</v>
      </c>
      <c r="E13" s="96"/>
      <c r="F13" s="96"/>
      <c r="G13" s="96"/>
      <c r="H13" s="97"/>
      <c r="J13" s="115"/>
      <c r="K13" s="115"/>
    </row>
    <row r="14" spans="4:11" ht="12">
      <c r="D14" s="96" t="s">
        <v>65</v>
      </c>
      <c r="E14" s="116">
        <v>0.5</v>
      </c>
      <c r="F14" s="96"/>
      <c r="G14" s="96"/>
      <c r="H14" s="97"/>
      <c r="K14" s="115"/>
    </row>
    <row r="15" spans="2:8" ht="14.25">
      <c r="B15" s="117"/>
      <c r="D15" s="96" t="s">
        <v>173</v>
      </c>
      <c r="E15" s="116">
        <v>0.2</v>
      </c>
      <c r="F15" s="96"/>
      <c r="G15" s="96"/>
      <c r="H15" s="9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9.875" style="0" bestFit="1" customWidth="1"/>
    <col min="2" max="2" width="10.875" style="0" customWidth="1"/>
    <col min="3" max="4" width="10.50390625" style="0" customWidth="1"/>
    <col min="5" max="5" width="24.50390625" style="0" customWidth="1"/>
    <col min="6" max="6" width="11.50390625" style="0" customWidth="1"/>
    <col min="7" max="7" width="9.25390625" style="0" customWidth="1"/>
    <col min="8" max="8" width="5.25390625" style="0" customWidth="1"/>
    <col min="10" max="10" width="27.75390625" style="0" bestFit="1" customWidth="1"/>
    <col min="11" max="11" width="9.125" style="0" bestFit="1" customWidth="1"/>
  </cols>
  <sheetData>
    <row r="1" spans="1:11" ht="15.75" thickBot="1">
      <c r="A1" s="6" t="s">
        <v>7</v>
      </c>
      <c r="E1" s="83" t="s">
        <v>100</v>
      </c>
      <c r="F1" s="84"/>
      <c r="J1" s="86" t="s">
        <v>100</v>
      </c>
      <c r="K1" s="87"/>
    </row>
    <row r="2" spans="1:11" ht="15" customHeight="1" thickBot="1">
      <c r="A2" s="1" t="s">
        <v>0</v>
      </c>
      <c r="B2" s="8">
        <v>106856</v>
      </c>
      <c r="E2" s="84" t="s">
        <v>101</v>
      </c>
      <c r="F2" s="84">
        <v>800</v>
      </c>
      <c r="J2" s="87" t="s">
        <v>101</v>
      </c>
      <c r="K2" s="87">
        <v>6000</v>
      </c>
    </row>
    <row r="3" spans="1:11" ht="15" customHeight="1" thickBot="1">
      <c r="A3" s="2" t="s">
        <v>1</v>
      </c>
      <c r="B3" s="9">
        <v>84347</v>
      </c>
      <c r="E3" s="84" t="s">
        <v>65</v>
      </c>
      <c r="F3" s="85">
        <v>70</v>
      </c>
      <c r="J3" s="87" t="s">
        <v>65</v>
      </c>
      <c r="K3" s="90">
        <v>60</v>
      </c>
    </row>
    <row r="4" spans="1:11" ht="15" customHeight="1" thickBot="1">
      <c r="A4" s="2" t="s">
        <v>2</v>
      </c>
      <c r="B4" s="46">
        <f>B2-B3</f>
        <v>22509</v>
      </c>
      <c r="E4" s="84" t="s">
        <v>64</v>
      </c>
      <c r="F4" s="85">
        <v>50</v>
      </c>
      <c r="J4" s="87" t="s">
        <v>64</v>
      </c>
      <c r="K4" s="90">
        <v>50</v>
      </c>
    </row>
    <row r="5" spans="1:11" ht="15" customHeight="1" thickBot="1">
      <c r="A5" s="2" t="s">
        <v>3</v>
      </c>
      <c r="B5" s="9">
        <v>20507</v>
      </c>
      <c r="E5" s="84" t="s">
        <v>108</v>
      </c>
      <c r="F5" s="85">
        <v>1000</v>
      </c>
      <c r="J5" s="87" t="s">
        <v>102</v>
      </c>
      <c r="K5" s="90">
        <v>1000</v>
      </c>
    </row>
    <row r="6" spans="1:11" ht="15" customHeight="1" thickBot="1">
      <c r="A6" s="2" t="s">
        <v>4</v>
      </c>
      <c r="B6" s="46">
        <f>B4-B5</f>
        <v>2002</v>
      </c>
      <c r="E6" s="84" t="s">
        <v>109</v>
      </c>
      <c r="F6" s="85">
        <v>1500</v>
      </c>
      <c r="J6" s="87" t="s">
        <v>103</v>
      </c>
      <c r="K6" s="90">
        <v>1500</v>
      </c>
    </row>
    <row r="7" spans="1:11" ht="15" customHeight="1" thickBot="1">
      <c r="A7" s="2" t="s">
        <v>5</v>
      </c>
      <c r="B7" s="9">
        <v>338</v>
      </c>
      <c r="E7" s="84"/>
      <c r="F7" s="85"/>
      <c r="J7" s="87" t="s">
        <v>110</v>
      </c>
      <c r="K7" s="88">
        <v>0.25</v>
      </c>
    </row>
    <row r="8" spans="1:11" ht="15" customHeight="1" thickBot="1">
      <c r="A8" s="3" t="s">
        <v>6</v>
      </c>
      <c r="B8" s="47">
        <f>B6-B7</f>
        <v>1664</v>
      </c>
      <c r="E8" s="83" t="s">
        <v>104</v>
      </c>
      <c r="F8" s="85"/>
      <c r="J8" s="87" t="s">
        <v>111</v>
      </c>
      <c r="K8" s="91">
        <f>K6*(1+K7)*14</f>
        <v>26250</v>
      </c>
    </row>
    <row r="9" spans="2:11" ht="12">
      <c r="B9" s="11"/>
      <c r="E9" s="84" t="s">
        <v>0</v>
      </c>
      <c r="F9" s="85">
        <f>F3*F2</f>
        <v>56000</v>
      </c>
      <c r="J9" s="87" t="s">
        <v>35</v>
      </c>
      <c r="K9" s="92">
        <v>20000</v>
      </c>
    </row>
    <row r="10" spans="1:11" ht="15.75" thickBot="1">
      <c r="A10" s="6" t="s">
        <v>8</v>
      </c>
      <c r="E10" s="84" t="s">
        <v>105</v>
      </c>
      <c r="F10" s="85">
        <f>F4*F2</f>
        <v>40000</v>
      </c>
      <c r="J10" s="87" t="s">
        <v>112</v>
      </c>
      <c r="K10" s="88">
        <v>0.2</v>
      </c>
    </row>
    <row r="11" spans="1:11" ht="15.75" thickBot="1">
      <c r="A11" s="1" t="s">
        <v>9</v>
      </c>
      <c r="B11" s="8">
        <v>3189</v>
      </c>
      <c r="E11" s="84" t="s">
        <v>67</v>
      </c>
      <c r="F11" s="85">
        <f>F9-F10</f>
        <v>16000</v>
      </c>
      <c r="J11" s="87" t="s">
        <v>113</v>
      </c>
      <c r="K11" s="91">
        <f>K9*K10</f>
        <v>4000</v>
      </c>
    </row>
    <row r="12" spans="1:11" ht="15.75" thickBot="1">
      <c r="A12" s="2" t="s">
        <v>10</v>
      </c>
      <c r="B12" s="9">
        <v>1593</v>
      </c>
      <c r="E12" s="84" t="s">
        <v>106</v>
      </c>
      <c r="F12" s="85">
        <f>F5+F6</f>
        <v>2500</v>
      </c>
      <c r="J12" s="86" t="s">
        <v>104</v>
      </c>
      <c r="K12" s="92"/>
    </row>
    <row r="13" spans="1:11" ht="15.75" thickBot="1">
      <c r="A13" s="2" t="s">
        <v>11</v>
      </c>
      <c r="B13" s="46">
        <f>B15-B14-B12-B11</f>
        <v>10524</v>
      </c>
      <c r="E13" s="84" t="s">
        <v>107</v>
      </c>
      <c r="F13" s="85">
        <f>F11-F12</f>
        <v>13500</v>
      </c>
      <c r="J13" s="87" t="s">
        <v>0</v>
      </c>
      <c r="K13" s="92">
        <f>K3*K2</f>
        <v>360000</v>
      </c>
    </row>
    <row r="14" spans="1:11" ht="15.75" thickBot="1">
      <c r="A14" s="2" t="s">
        <v>12</v>
      </c>
      <c r="B14" s="9">
        <v>29343</v>
      </c>
      <c r="J14" s="87" t="s">
        <v>105</v>
      </c>
      <c r="K14" s="92">
        <f>K4*K2</f>
        <v>300000</v>
      </c>
    </row>
    <row r="15" spans="1:11" ht="15.75" thickBot="1">
      <c r="A15" s="7" t="s">
        <v>13</v>
      </c>
      <c r="B15" s="10">
        <v>44649</v>
      </c>
      <c r="J15" s="87" t="s">
        <v>67</v>
      </c>
      <c r="K15" s="92">
        <f>K13-K14</f>
        <v>60000</v>
      </c>
    </row>
    <row r="16" spans="2:11" ht="12">
      <c r="B16" s="11"/>
      <c r="J16" s="87" t="s">
        <v>106</v>
      </c>
      <c r="K16" s="92">
        <f>K5*12+K8+K11</f>
        <v>42250</v>
      </c>
    </row>
    <row r="17" spans="1:11" ht="15">
      <c r="A17" s="17" t="s">
        <v>14</v>
      </c>
      <c r="B17" s="32">
        <f>B15-B14-B12-B11</f>
        <v>10524</v>
      </c>
      <c r="J17" s="87" t="s">
        <v>114</v>
      </c>
      <c r="K17" s="92">
        <f>K15-K16</f>
        <v>17750</v>
      </c>
    </row>
    <row r="18" spans="1:11" ht="15">
      <c r="A18" s="6" t="s">
        <v>15</v>
      </c>
      <c r="J18" s="89" t="s">
        <v>120</v>
      </c>
      <c r="K18" s="87">
        <f>(K8+K11)/(K3-K4)</f>
        <v>3025</v>
      </c>
    </row>
    <row r="19" spans="1:10" ht="12">
      <c r="A19" s="121" t="s">
        <v>118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6.7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12">
      <c r="A21" s="122"/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2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2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9.75" customHeight="1" thickBo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2" ht="15.75" thickBot="1">
      <c r="A25" s="1" t="s">
        <v>0</v>
      </c>
      <c r="B25" s="11">
        <f>6*1000</f>
        <v>6000</v>
      </c>
    </row>
    <row r="26" spans="1:2" ht="15.75" thickBot="1">
      <c r="A26" s="2" t="s">
        <v>1</v>
      </c>
      <c r="B26" s="11">
        <f>6*500</f>
        <v>3000</v>
      </c>
    </row>
    <row r="27" spans="1:2" ht="15.75" thickBot="1">
      <c r="A27" s="2" t="s">
        <v>2</v>
      </c>
      <c r="B27" s="11">
        <f>B25-B26</f>
        <v>3000</v>
      </c>
    </row>
    <row r="28" spans="1:2" ht="15.75" thickBot="1">
      <c r="A28" s="2" t="s">
        <v>3</v>
      </c>
      <c r="B28" s="11">
        <f>3*100</f>
        <v>300</v>
      </c>
    </row>
    <row r="29" spans="1:2" ht="15.75" thickBot="1">
      <c r="A29" s="3" t="s">
        <v>6</v>
      </c>
      <c r="B29" s="32">
        <f>B27-B28</f>
        <v>2700</v>
      </c>
    </row>
    <row r="30" ht="12">
      <c r="B30" s="11"/>
    </row>
    <row r="31" spans="1:2" ht="15">
      <c r="A31" s="12" t="s">
        <v>16</v>
      </c>
      <c r="B31" s="11">
        <v>22000</v>
      </c>
    </row>
    <row r="32" spans="1:2" ht="15">
      <c r="A32" s="12" t="s">
        <v>17</v>
      </c>
      <c r="B32" s="11">
        <f>B25</f>
        <v>6000</v>
      </c>
    </row>
    <row r="33" spans="1:2" ht="15">
      <c r="A33" s="12" t="s">
        <v>18</v>
      </c>
      <c r="B33" s="11">
        <f>B26+B28</f>
        <v>3300</v>
      </c>
    </row>
    <row r="34" spans="1:2" ht="15">
      <c r="A34" s="12" t="s">
        <v>19</v>
      </c>
      <c r="B34" s="32">
        <f>B31+B32-B33</f>
        <v>24700</v>
      </c>
    </row>
    <row r="35" ht="15">
      <c r="A35" s="79" t="s">
        <v>20</v>
      </c>
    </row>
    <row r="36" spans="1:9" ht="12">
      <c r="A36" s="123" t="s">
        <v>115</v>
      </c>
      <c r="B36" s="120"/>
      <c r="C36" s="120"/>
      <c r="D36" s="120"/>
      <c r="E36" s="120"/>
      <c r="F36" s="120"/>
      <c r="G36" s="120"/>
      <c r="H36" s="120"/>
      <c r="I36" s="120"/>
    </row>
    <row r="37" spans="1:9" ht="4.5" customHeight="1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2">
      <c r="A39" s="120"/>
      <c r="B39" s="120"/>
      <c r="C39" s="120"/>
      <c r="D39" s="120"/>
      <c r="E39" s="120"/>
      <c r="F39" s="120"/>
      <c r="G39" s="120"/>
      <c r="H39" s="120"/>
      <c r="I39" s="120"/>
    </row>
    <row r="40" spans="1:2" ht="12">
      <c r="A40" t="s">
        <v>21</v>
      </c>
      <c r="B40" s="11">
        <v>14000</v>
      </c>
    </row>
    <row r="41" spans="1:2" ht="12">
      <c r="A41" t="s">
        <v>117</v>
      </c>
      <c r="B41" s="18">
        <v>5</v>
      </c>
    </row>
    <row r="42" spans="1:2" ht="12">
      <c r="A42" t="s">
        <v>22</v>
      </c>
      <c r="B42" s="13">
        <v>0.12</v>
      </c>
    </row>
    <row r="43" spans="1:2" ht="12">
      <c r="A43" t="s">
        <v>23</v>
      </c>
      <c r="B43" s="32">
        <f>B40*B41*B42</f>
        <v>8400</v>
      </c>
    </row>
    <row r="44" spans="1:2" ht="12.75">
      <c r="A44" s="52" t="s">
        <v>116</v>
      </c>
      <c r="B44" s="32">
        <f>B40-B43</f>
        <v>5600</v>
      </c>
    </row>
    <row r="45" ht="15">
      <c r="A45" s="6" t="s">
        <v>24</v>
      </c>
    </row>
    <row r="46" spans="1:9" ht="12">
      <c r="A46" s="123" t="s">
        <v>25</v>
      </c>
      <c r="B46" s="120"/>
      <c r="C46" s="120"/>
      <c r="D46" s="120"/>
      <c r="E46" s="120"/>
      <c r="F46" s="120"/>
      <c r="G46" s="120"/>
      <c r="H46" s="120"/>
      <c r="I46" s="120"/>
    </row>
    <row r="47" spans="1:9" ht="6.75" customHeight="1">
      <c r="A47" s="120"/>
      <c r="B47" s="120"/>
      <c r="C47" s="120"/>
      <c r="D47" s="120"/>
      <c r="E47" s="120"/>
      <c r="F47" s="120"/>
      <c r="G47" s="120"/>
      <c r="H47" s="120"/>
      <c r="I47" s="120"/>
    </row>
    <row r="48" spans="1:9" ht="12">
      <c r="A48" s="120"/>
      <c r="B48" s="120"/>
      <c r="C48" s="120"/>
      <c r="D48" s="120"/>
      <c r="E48" s="120"/>
      <c r="F48" s="120"/>
      <c r="G48" s="120"/>
      <c r="H48" s="120"/>
      <c r="I48" s="120"/>
    </row>
    <row r="49" spans="1:9" ht="12">
      <c r="A49" s="120"/>
      <c r="B49" s="120"/>
      <c r="C49" s="120"/>
      <c r="D49" s="120"/>
      <c r="E49" s="120"/>
      <c r="F49" s="120"/>
      <c r="G49" s="120"/>
      <c r="H49" s="120"/>
      <c r="I49" s="120"/>
    </row>
    <row r="50" spans="1:9" ht="6.75" customHeight="1">
      <c r="A50" s="120"/>
      <c r="B50" s="120"/>
      <c r="C50" s="120"/>
      <c r="D50" s="120"/>
      <c r="E50" s="120"/>
      <c r="F50" s="120"/>
      <c r="G50" s="120"/>
      <c r="H50" s="120"/>
      <c r="I50" s="120"/>
    </row>
    <row r="51" spans="1:2" ht="12">
      <c r="A51" t="s">
        <v>27</v>
      </c>
      <c r="B51" s="14">
        <v>500</v>
      </c>
    </row>
    <row r="52" spans="1:2" ht="12">
      <c r="A52" t="s">
        <v>28</v>
      </c>
      <c r="B52" s="14">
        <v>1000</v>
      </c>
    </row>
    <row r="53" spans="1:2" ht="12">
      <c r="A53" t="s">
        <v>29</v>
      </c>
      <c r="B53" s="14">
        <v>20</v>
      </c>
    </row>
    <row r="54" spans="1:2" ht="12">
      <c r="A54" t="s">
        <v>0</v>
      </c>
      <c r="B54" s="14">
        <v>15</v>
      </c>
    </row>
    <row r="56" spans="1:2" ht="12">
      <c r="A56" t="s">
        <v>26</v>
      </c>
      <c r="B56" s="48">
        <f>(B54*B52)*0.18-(B53*B51)*0.18</f>
        <v>900</v>
      </c>
    </row>
    <row r="57" spans="1:9" ht="12">
      <c r="A57" s="119" t="s">
        <v>134</v>
      </c>
      <c r="B57" s="120"/>
      <c r="C57" s="120"/>
      <c r="D57" s="120"/>
      <c r="E57" s="120"/>
      <c r="F57" s="120"/>
      <c r="G57" s="120"/>
      <c r="H57" s="120"/>
      <c r="I57" s="120"/>
    </row>
    <row r="58" spans="1:9" ht="11.25" customHeight="1">
      <c r="A58" s="120"/>
      <c r="B58" s="120"/>
      <c r="C58" s="120"/>
      <c r="D58" s="120"/>
      <c r="E58" s="120"/>
      <c r="F58" s="120"/>
      <c r="G58" s="120"/>
      <c r="H58" s="120"/>
      <c r="I58" s="120"/>
    </row>
    <row r="59" spans="1:9" ht="12">
      <c r="A59" s="120"/>
      <c r="B59" s="120"/>
      <c r="C59" s="120"/>
      <c r="D59" s="120"/>
      <c r="E59" s="120"/>
      <c r="F59" s="120"/>
      <c r="G59" s="120"/>
      <c r="H59" s="120"/>
      <c r="I59" s="120"/>
    </row>
    <row r="60" spans="1:9" ht="12">
      <c r="A60" s="120"/>
      <c r="B60" s="120"/>
      <c r="C60" s="120"/>
      <c r="D60" s="120"/>
      <c r="E60" s="120"/>
      <c r="F60" s="120"/>
      <c r="G60" s="120"/>
      <c r="H60" s="120"/>
      <c r="I60" s="120"/>
    </row>
    <row r="61" spans="1:9" ht="7.5" customHeight="1">
      <c r="A61" s="120"/>
      <c r="B61" s="120"/>
      <c r="C61" s="120"/>
      <c r="D61" s="120"/>
      <c r="E61" s="120"/>
      <c r="F61" s="120"/>
      <c r="G61" s="120"/>
      <c r="H61" s="120"/>
      <c r="I61" s="120"/>
    </row>
    <row r="62" spans="1:3" ht="12">
      <c r="A62" t="s">
        <v>30</v>
      </c>
      <c r="B62">
        <v>40</v>
      </c>
      <c r="C62" s="13"/>
    </row>
    <row r="63" spans="1:3" ht="12">
      <c r="A63" t="s">
        <v>31</v>
      </c>
      <c r="B63">
        <v>60</v>
      </c>
      <c r="C63" s="13"/>
    </row>
    <row r="64" spans="1:3" ht="12">
      <c r="A64" t="s">
        <v>32</v>
      </c>
      <c r="B64">
        <v>80</v>
      </c>
      <c r="C64" s="33">
        <f>B64/B66</f>
        <v>0.4</v>
      </c>
    </row>
    <row r="65" spans="1:3" ht="12">
      <c r="A65" t="s">
        <v>33</v>
      </c>
      <c r="B65">
        <v>20</v>
      </c>
      <c r="C65" s="13"/>
    </row>
    <row r="66" spans="2:3" ht="12">
      <c r="B66" s="48">
        <f>SUM(B62:B65)</f>
        <v>200</v>
      </c>
      <c r="C66" s="49"/>
    </row>
    <row r="67" spans="1:9" ht="12">
      <c r="A67" s="119" t="s">
        <v>135</v>
      </c>
      <c r="B67" s="120"/>
      <c r="C67" s="120"/>
      <c r="D67" s="120"/>
      <c r="E67" s="120"/>
      <c r="F67" s="120"/>
      <c r="G67" s="120"/>
      <c r="H67" s="120"/>
      <c r="I67" s="120"/>
    </row>
    <row r="68" spans="1:9" ht="12">
      <c r="A68" s="120"/>
      <c r="B68" s="120"/>
      <c r="C68" s="120"/>
      <c r="D68" s="120"/>
      <c r="E68" s="120"/>
      <c r="F68" s="120"/>
      <c r="G68" s="120"/>
      <c r="H68" s="120"/>
      <c r="I68" s="120"/>
    </row>
    <row r="69" spans="1:9" ht="12">
      <c r="A69" s="120"/>
      <c r="B69" s="120"/>
      <c r="C69" s="120"/>
      <c r="D69" s="120"/>
      <c r="E69" s="120"/>
      <c r="F69" s="120"/>
      <c r="G69" s="120"/>
      <c r="H69" s="120"/>
      <c r="I69" s="120"/>
    </row>
    <row r="70" spans="1:9" ht="12">
      <c r="A70" s="120"/>
      <c r="B70" s="120"/>
      <c r="C70" s="120"/>
      <c r="D70" s="120"/>
      <c r="E70" s="120"/>
      <c r="F70" s="120"/>
      <c r="G70" s="120"/>
      <c r="H70" s="120"/>
      <c r="I70" s="120"/>
    </row>
    <row r="71" spans="1:9" ht="12">
      <c r="A71" s="120"/>
      <c r="B71" s="120"/>
      <c r="C71" s="120"/>
      <c r="D71" s="120"/>
      <c r="E71" s="120"/>
      <c r="F71" s="120"/>
      <c r="G71" s="120"/>
      <c r="H71" s="120"/>
      <c r="I71" s="120"/>
    </row>
    <row r="72" spans="1:9" ht="5.25" customHeight="1">
      <c r="A72" s="120"/>
      <c r="B72" s="120"/>
      <c r="C72" s="120"/>
      <c r="D72" s="120"/>
      <c r="E72" s="120"/>
      <c r="F72" s="120"/>
      <c r="G72" s="120"/>
      <c r="H72" s="120"/>
      <c r="I72" s="120"/>
    </row>
    <row r="73" spans="1:2" ht="12">
      <c r="A73" t="s">
        <v>27</v>
      </c>
      <c r="B73">
        <f>20/20</f>
        <v>1</v>
      </c>
    </row>
    <row r="74" spans="1:2" ht="12">
      <c r="A74" t="s">
        <v>36</v>
      </c>
      <c r="B74">
        <v>3.5</v>
      </c>
    </row>
    <row r="75" spans="1:2" ht="12">
      <c r="A75" t="s">
        <v>37</v>
      </c>
      <c r="B75">
        <f>500+2*850</f>
        <v>2200</v>
      </c>
    </row>
    <row r="76" spans="1:2" ht="12">
      <c r="A76" t="s">
        <v>38</v>
      </c>
      <c r="B76" s="5">
        <f>B75/(B74-B73)</f>
        <v>880</v>
      </c>
    </row>
    <row r="77" spans="1:9" ht="12">
      <c r="A77" s="119" t="s">
        <v>136</v>
      </c>
      <c r="B77" s="120"/>
      <c r="C77" s="120"/>
      <c r="D77" s="120"/>
      <c r="E77" s="120"/>
      <c r="F77" s="120"/>
      <c r="G77" s="120"/>
      <c r="H77" s="120"/>
      <c r="I77" s="120"/>
    </row>
    <row r="78" spans="1:9" ht="12">
      <c r="A78" s="120"/>
      <c r="B78" s="120"/>
      <c r="C78" s="120"/>
      <c r="D78" s="120"/>
      <c r="E78" s="120"/>
      <c r="F78" s="120"/>
      <c r="G78" s="120"/>
      <c r="H78" s="120"/>
      <c r="I78" s="120"/>
    </row>
    <row r="79" spans="1:9" ht="12">
      <c r="A79" s="120"/>
      <c r="B79" s="120"/>
      <c r="C79" s="120"/>
      <c r="D79" s="120"/>
      <c r="E79" s="120"/>
      <c r="F79" s="120"/>
      <c r="G79" s="120"/>
      <c r="H79" s="120"/>
      <c r="I79" s="120"/>
    </row>
    <row r="80" spans="1:9" ht="12">
      <c r="A80" s="120"/>
      <c r="B80" s="120"/>
      <c r="C80" s="120"/>
      <c r="D80" s="120"/>
      <c r="E80" s="120"/>
      <c r="F80" s="120"/>
      <c r="G80" s="120"/>
      <c r="H80" s="120"/>
      <c r="I80" s="120"/>
    </row>
    <row r="81" spans="1:9" ht="7.5" customHeight="1">
      <c r="A81" s="120"/>
      <c r="B81" s="120"/>
      <c r="C81" s="120"/>
      <c r="D81" s="120"/>
      <c r="E81" s="120"/>
      <c r="F81" s="120"/>
      <c r="G81" s="120"/>
      <c r="H81" s="120"/>
      <c r="I81" s="120"/>
    </row>
    <row r="82" spans="1:2" ht="12">
      <c r="A82" t="s">
        <v>39</v>
      </c>
      <c r="B82">
        <v>800000</v>
      </c>
    </row>
    <row r="83" spans="1:2" ht="12">
      <c r="A83" t="s">
        <v>40</v>
      </c>
      <c r="B83">
        <v>0.08</v>
      </c>
    </row>
    <row r="84" spans="1:2" ht="12">
      <c r="A84" t="s">
        <v>41</v>
      </c>
      <c r="B84">
        <v>5</v>
      </c>
    </row>
    <row r="85" spans="1:2" ht="12">
      <c r="A85" t="s">
        <v>42</v>
      </c>
      <c r="B85" s="15">
        <f>FV(B83,B84,,-B82)</f>
        <v>1175462.4614400002</v>
      </c>
    </row>
    <row r="86" spans="1:10" ht="12">
      <c r="A86" s="119" t="s">
        <v>119</v>
      </c>
      <c r="B86" s="120"/>
      <c r="C86" s="120"/>
      <c r="D86" s="120"/>
      <c r="E86" s="120"/>
      <c r="F86" s="120"/>
      <c r="G86" s="120"/>
      <c r="H86" s="120"/>
      <c r="I86" s="120"/>
      <c r="J86" s="120"/>
    </row>
    <row r="87" spans="1:10" ht="12">
      <c r="A87" s="120"/>
      <c r="B87" s="120"/>
      <c r="C87" s="120"/>
      <c r="D87" s="120"/>
      <c r="E87" s="120"/>
      <c r="F87" s="120"/>
      <c r="G87" s="120"/>
      <c r="H87" s="120"/>
      <c r="I87" s="120"/>
      <c r="J87" s="120"/>
    </row>
    <row r="88" spans="1:10" ht="12">
      <c r="A88" s="120"/>
      <c r="B88" s="120"/>
      <c r="C88" s="120"/>
      <c r="D88" s="120"/>
      <c r="E88" s="120"/>
      <c r="F88" s="120"/>
      <c r="G88" s="120"/>
      <c r="H88" s="120"/>
      <c r="I88" s="120"/>
      <c r="J88" s="120"/>
    </row>
    <row r="89" spans="2:7" ht="15">
      <c r="B89" s="16" t="s">
        <v>45</v>
      </c>
      <c r="C89" s="16" t="s">
        <v>46</v>
      </c>
      <c r="D89" s="16" t="s">
        <v>47</v>
      </c>
      <c r="E89" s="16" t="s">
        <v>48</v>
      </c>
      <c r="F89" s="16" t="s">
        <v>49</v>
      </c>
      <c r="G89" s="16" t="s">
        <v>50</v>
      </c>
    </row>
    <row r="90" spans="1:7" ht="15">
      <c r="A90" s="34" t="s">
        <v>43</v>
      </c>
      <c r="B90" s="35">
        <v>20000</v>
      </c>
      <c r="C90" s="35">
        <v>25000</v>
      </c>
      <c r="D90" s="35">
        <v>30000</v>
      </c>
      <c r="E90" s="35">
        <v>35000</v>
      </c>
      <c r="F90" s="35">
        <v>40000</v>
      </c>
      <c r="G90" s="35">
        <v>54000</v>
      </c>
    </row>
    <row r="91" spans="1:7" ht="15">
      <c r="A91" s="34" t="s">
        <v>44</v>
      </c>
      <c r="B91" s="36">
        <v>15000</v>
      </c>
      <c r="C91" s="36">
        <v>18000</v>
      </c>
      <c r="D91" s="36">
        <v>20000</v>
      </c>
      <c r="E91" s="36">
        <v>24000</v>
      </c>
      <c r="F91" s="36">
        <v>20000</v>
      </c>
      <c r="G91" s="36">
        <v>25000</v>
      </c>
    </row>
    <row r="92" spans="1:2" ht="12">
      <c r="A92" t="s">
        <v>51</v>
      </c>
      <c r="B92" s="37">
        <f>AVERAGE(B90:G91)</f>
        <v>27166.666666666668</v>
      </c>
    </row>
  </sheetData>
  <sheetProtection/>
  <mergeCells count="7">
    <mergeCell ref="A86:J88"/>
    <mergeCell ref="A19:J24"/>
    <mergeCell ref="A36:I39"/>
    <mergeCell ref="A46:I50"/>
    <mergeCell ref="A57:I61"/>
    <mergeCell ref="A67:I72"/>
    <mergeCell ref="A77:I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2.25390625" style="0" customWidth="1"/>
    <col min="2" max="2" width="15.875" style="0" customWidth="1"/>
    <col min="3" max="3" width="10.75390625" style="0" customWidth="1"/>
    <col min="4" max="4" width="13.50390625" style="0" customWidth="1"/>
    <col min="5" max="5" width="12.875" style="0" customWidth="1"/>
    <col min="7" max="7" width="11.00390625" style="0" customWidth="1"/>
    <col min="8" max="8" width="16.75390625" style="0" customWidth="1"/>
    <col min="9" max="9" width="11.50390625" style="0" customWidth="1"/>
  </cols>
  <sheetData>
    <row r="1" spans="1:9" ht="12">
      <c r="A1" s="119" t="s">
        <v>91</v>
      </c>
      <c r="B1" s="120"/>
      <c r="C1" s="120"/>
      <c r="D1" s="120"/>
      <c r="E1" s="120"/>
      <c r="F1" s="120"/>
      <c r="G1" s="120"/>
      <c r="H1" s="120"/>
      <c r="I1" s="120"/>
    </row>
    <row r="2" spans="1:9" ht="12">
      <c r="A2" s="120"/>
      <c r="B2" s="120"/>
      <c r="C2" s="120"/>
      <c r="D2" s="120"/>
      <c r="E2" s="120"/>
      <c r="F2" s="120"/>
      <c r="G2" s="120"/>
      <c r="H2" s="120"/>
      <c r="I2" s="120"/>
    </row>
    <row r="3" spans="1:9" ht="12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2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2">
      <c r="A5" s="120"/>
      <c r="B5" s="120"/>
      <c r="C5" s="120"/>
      <c r="D5" s="120"/>
      <c r="E5" s="120"/>
      <c r="F5" s="120"/>
      <c r="G5" s="120"/>
      <c r="H5" s="120"/>
      <c r="I5" s="120"/>
    </row>
    <row r="6" spans="1:2" ht="12">
      <c r="A6" s="19" t="s">
        <v>52</v>
      </c>
      <c r="B6" s="19">
        <v>800</v>
      </c>
    </row>
    <row r="7" spans="1:2" ht="12">
      <c r="A7" s="19" t="s">
        <v>18</v>
      </c>
      <c r="B7" s="19">
        <f>120+150+75</f>
        <v>345</v>
      </c>
    </row>
    <row r="8" spans="1:2" ht="12">
      <c r="A8" s="19" t="s">
        <v>34</v>
      </c>
      <c r="B8" s="31">
        <f>B6-B7</f>
        <v>455</v>
      </c>
    </row>
    <row r="9" spans="1:9" ht="12">
      <c r="A9" s="119" t="s">
        <v>92</v>
      </c>
      <c r="B9" s="120"/>
      <c r="C9" s="120"/>
      <c r="D9" s="120"/>
      <c r="E9" s="120"/>
      <c r="F9" s="120"/>
      <c r="G9" s="120"/>
      <c r="H9" s="120"/>
      <c r="I9" s="120"/>
    </row>
    <row r="10" spans="1:9" ht="12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ht="12">
      <c r="A11" s="120"/>
      <c r="B11" s="120"/>
      <c r="C11" s="120"/>
      <c r="D11" s="120"/>
      <c r="E11" s="120"/>
      <c r="F11" s="120"/>
      <c r="G11" s="120"/>
      <c r="H11" s="120"/>
      <c r="I11" s="120"/>
    </row>
    <row r="12" spans="1:9" ht="12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9" ht="6.75" customHeight="1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2" ht="12">
      <c r="A14" s="19" t="s">
        <v>54</v>
      </c>
      <c r="B14" s="19">
        <v>60</v>
      </c>
    </row>
    <row r="15" spans="1:2" ht="12">
      <c r="A15" s="19" t="s">
        <v>53</v>
      </c>
      <c r="B15" s="19">
        <v>4</v>
      </c>
    </row>
    <row r="16" spans="1:2" ht="12">
      <c r="A16" s="19" t="s">
        <v>55</v>
      </c>
      <c r="B16" s="19">
        <v>15</v>
      </c>
    </row>
    <row r="17" spans="1:2" ht="12">
      <c r="A17" s="19" t="s">
        <v>56</v>
      </c>
      <c r="B17" s="19">
        <v>1</v>
      </c>
    </row>
    <row r="18" spans="1:2" ht="12">
      <c r="A18" s="19"/>
      <c r="B18" s="19"/>
    </row>
    <row r="19" spans="1:2" ht="12">
      <c r="A19" s="19" t="s">
        <v>57</v>
      </c>
      <c r="B19" s="38">
        <f>(B14/B15)*B16+B14*B17</f>
        <v>285</v>
      </c>
    </row>
    <row r="21" ht="15">
      <c r="A21" s="6" t="s">
        <v>58</v>
      </c>
    </row>
    <row r="23" spans="1:5" ht="32.25" customHeight="1">
      <c r="A23" s="24" t="s">
        <v>59</v>
      </c>
      <c r="B23" s="24" t="s">
        <v>63</v>
      </c>
      <c r="C23" s="24" t="s">
        <v>64</v>
      </c>
      <c r="D23" s="24" t="s">
        <v>65</v>
      </c>
      <c r="E23" s="24" t="s">
        <v>67</v>
      </c>
    </row>
    <row r="24" spans="1:5" ht="18.75" customHeight="1">
      <c r="A24" s="25" t="s">
        <v>60</v>
      </c>
      <c r="B24" s="26">
        <v>10</v>
      </c>
      <c r="C24" s="41">
        <v>12</v>
      </c>
      <c r="D24" s="41">
        <v>30</v>
      </c>
      <c r="E24" s="42">
        <f>B24*(D24-C24)</f>
        <v>180</v>
      </c>
    </row>
    <row r="25" spans="1:5" ht="15">
      <c r="A25" s="25" t="s">
        <v>61</v>
      </c>
      <c r="B25" s="26">
        <v>20</v>
      </c>
      <c r="C25" s="41">
        <v>8</v>
      </c>
      <c r="D25" s="41">
        <v>16</v>
      </c>
      <c r="E25" s="42">
        <f>B25*(D25-C25)</f>
        <v>160</v>
      </c>
    </row>
    <row r="26" spans="1:5" ht="15">
      <c r="A26" s="25" t="s">
        <v>62</v>
      </c>
      <c r="B26" s="26">
        <v>30</v>
      </c>
      <c r="C26" s="41">
        <v>18</v>
      </c>
      <c r="D26" s="41">
        <v>45</v>
      </c>
      <c r="E26" s="42">
        <f>B26*(D26-C26)</f>
        <v>810</v>
      </c>
    </row>
    <row r="27" spans="1:5" ht="15">
      <c r="A27" s="19"/>
      <c r="B27" s="27"/>
      <c r="C27" s="27"/>
      <c r="D27" s="27"/>
      <c r="E27" s="42">
        <f>SUM(E24:E26)</f>
        <v>1150</v>
      </c>
    </row>
    <row r="28" spans="1:5" ht="15">
      <c r="A28" s="39" t="s">
        <v>66</v>
      </c>
      <c r="B28" s="40"/>
      <c r="C28" s="40"/>
      <c r="D28" s="43">
        <f>E27</f>
        <v>1150</v>
      </c>
      <c r="E28" s="19"/>
    </row>
    <row r="29" spans="1:9" ht="7.5" customHeight="1">
      <c r="A29" s="119" t="s">
        <v>93</v>
      </c>
      <c r="B29" s="120"/>
      <c r="C29" s="120"/>
      <c r="D29" s="120"/>
      <c r="E29" s="120"/>
      <c r="F29" s="120"/>
      <c r="G29" s="120"/>
      <c r="H29" s="120"/>
      <c r="I29" s="120"/>
    </row>
    <row r="30" spans="1:9" ht="12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9.5" customHeight="1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12">
      <c r="A32" s="120"/>
      <c r="B32" s="120"/>
      <c r="C32" s="120"/>
      <c r="D32" s="120"/>
      <c r="E32" s="120"/>
      <c r="F32" s="120"/>
      <c r="G32" s="120"/>
      <c r="H32" s="120"/>
      <c r="I32" s="120"/>
    </row>
    <row r="33" spans="1:2" ht="15">
      <c r="A33" s="21" t="s">
        <v>71</v>
      </c>
      <c r="B33" s="44">
        <v>6100000</v>
      </c>
    </row>
    <row r="34" spans="1:3" ht="15">
      <c r="A34" s="21" t="s">
        <v>72</v>
      </c>
      <c r="B34" s="45">
        <v>0.3</v>
      </c>
      <c r="C34" s="20" t="s">
        <v>70</v>
      </c>
    </row>
    <row r="35" spans="1:2" ht="15">
      <c r="A35" s="21" t="s">
        <v>69</v>
      </c>
      <c r="B35" s="80">
        <f>B34*B33</f>
        <v>1830000</v>
      </c>
    </row>
    <row r="36" spans="1:9" ht="12">
      <c r="A36" s="119" t="s">
        <v>94</v>
      </c>
      <c r="B36" s="120"/>
      <c r="C36" s="120"/>
      <c r="D36" s="120"/>
      <c r="E36" s="120"/>
      <c r="F36" s="120"/>
      <c r="G36" s="120"/>
      <c r="H36" s="120"/>
      <c r="I36" s="120"/>
    </row>
    <row r="37" spans="1:9" ht="12">
      <c r="A37" s="120"/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0"/>
      <c r="B38" s="120"/>
      <c r="C38" s="120"/>
      <c r="D38" s="120"/>
      <c r="E38" s="120"/>
      <c r="F38" s="120"/>
      <c r="G38" s="120"/>
      <c r="H38" s="120"/>
      <c r="I38" s="120"/>
    </row>
    <row r="39" spans="1:9" ht="12">
      <c r="A39" s="120"/>
      <c r="B39" s="120"/>
      <c r="C39" s="120"/>
      <c r="D39" s="120"/>
      <c r="E39" s="120"/>
      <c r="F39" s="120"/>
      <c r="G39" s="120"/>
      <c r="H39" s="120"/>
      <c r="I39" s="120"/>
    </row>
    <row r="40" spans="1:2" ht="15">
      <c r="A40" s="21" t="s">
        <v>68</v>
      </c>
      <c r="B40" s="28">
        <v>19000000</v>
      </c>
    </row>
    <row r="41" spans="1:2" ht="15">
      <c r="A41" s="21" t="s">
        <v>73</v>
      </c>
      <c r="B41" s="28">
        <v>1500000</v>
      </c>
    </row>
    <row r="42" spans="1:2" ht="15">
      <c r="A42" s="21" t="s">
        <v>74</v>
      </c>
      <c r="B42" s="81">
        <f>B41/B40</f>
        <v>0.07894736842105263</v>
      </c>
    </row>
    <row r="43" ht="15">
      <c r="A43" s="6" t="s">
        <v>95</v>
      </c>
    </row>
    <row r="44" ht="15">
      <c r="A44" s="4" t="s">
        <v>75</v>
      </c>
    </row>
    <row r="45" spans="1:5" ht="15">
      <c r="A45" s="4" t="s">
        <v>76</v>
      </c>
      <c r="E45" s="81">
        <f>(B48-B49)/B49</f>
        <v>0.3888888888888889</v>
      </c>
    </row>
    <row r="46" ht="12.75">
      <c r="A46" s="50" t="s">
        <v>78</v>
      </c>
    </row>
    <row r="47" ht="15">
      <c r="A47" s="21" t="s">
        <v>77</v>
      </c>
    </row>
    <row r="48" spans="1:2" ht="15">
      <c r="A48" s="21" t="s">
        <v>79</v>
      </c>
      <c r="B48" s="21">
        <v>2500</v>
      </c>
    </row>
    <row r="49" spans="1:2" ht="18.75" customHeight="1">
      <c r="A49" s="21" t="s">
        <v>80</v>
      </c>
      <c r="B49" s="21">
        <v>1800</v>
      </c>
    </row>
    <row r="50" spans="1:10" ht="12.75" customHeight="1">
      <c r="A50" s="124" t="s">
        <v>96</v>
      </c>
      <c r="B50" s="124"/>
      <c r="C50" s="124"/>
      <c r="D50" s="124"/>
      <c r="E50" s="124"/>
      <c r="F50" s="51"/>
      <c r="G50" s="51"/>
      <c r="H50" s="51"/>
      <c r="I50" s="51"/>
      <c r="J50" s="51"/>
    </row>
    <row r="51" spans="1:10" ht="12">
      <c r="A51" s="124"/>
      <c r="B51" s="124"/>
      <c r="C51" s="124"/>
      <c r="D51" s="124"/>
      <c r="E51" s="124"/>
      <c r="F51" s="51"/>
      <c r="G51" s="51"/>
      <c r="H51" s="51"/>
      <c r="I51" s="51"/>
      <c r="J51" s="51"/>
    </row>
    <row r="52" spans="1:10" ht="12">
      <c r="A52" s="124"/>
      <c r="B52" s="124"/>
      <c r="C52" s="124"/>
      <c r="D52" s="124"/>
      <c r="E52" s="124"/>
      <c r="F52" s="51"/>
      <c r="G52" s="51"/>
      <c r="H52" s="51"/>
      <c r="I52" s="51"/>
      <c r="J52" s="51"/>
    </row>
    <row r="53" spans="1:10" ht="6" customHeight="1">
      <c r="A53" s="124"/>
      <c r="B53" s="124"/>
      <c r="C53" s="124"/>
      <c r="D53" s="124"/>
      <c r="E53" s="124"/>
      <c r="F53" s="51"/>
      <c r="G53" s="51"/>
      <c r="H53" s="51"/>
      <c r="I53" s="51"/>
      <c r="J53" s="51"/>
    </row>
    <row r="54" spans="1:2" ht="19.5" customHeight="1">
      <c r="A54" s="21" t="s">
        <v>81</v>
      </c>
      <c r="B54" s="23">
        <v>25000</v>
      </c>
    </row>
    <row r="55" spans="1:2" ht="15">
      <c r="A55" s="21" t="s">
        <v>82</v>
      </c>
      <c r="B55" s="29">
        <v>0.15</v>
      </c>
    </row>
    <row r="56" spans="1:2" ht="15">
      <c r="A56" s="21" t="s">
        <v>83</v>
      </c>
      <c r="B56" s="82">
        <f>B54-(B54*B55)</f>
        <v>21250</v>
      </c>
    </row>
    <row r="57" ht="15">
      <c r="A57" s="6" t="s">
        <v>97</v>
      </c>
    </row>
    <row r="58" ht="15">
      <c r="A58" s="4" t="s">
        <v>84</v>
      </c>
    </row>
    <row r="59" spans="1:2" ht="15">
      <c r="A59" s="21" t="s">
        <v>85</v>
      </c>
      <c r="B59" s="21">
        <v>400</v>
      </c>
    </row>
    <row r="60" spans="1:2" ht="15">
      <c r="A60" s="21" t="s">
        <v>86</v>
      </c>
      <c r="B60" s="21">
        <v>180</v>
      </c>
    </row>
    <row r="61" spans="1:2" ht="15">
      <c r="A61" s="21" t="s">
        <v>87</v>
      </c>
      <c r="B61" s="81">
        <f>(B59-B60)/B59</f>
        <v>0.55</v>
      </c>
    </row>
    <row r="62" spans="1:8" ht="12">
      <c r="A62" s="119" t="s">
        <v>98</v>
      </c>
      <c r="B62" s="120"/>
      <c r="C62" s="120"/>
      <c r="D62" s="120"/>
      <c r="E62" s="120"/>
      <c r="F62" s="120"/>
      <c r="G62" s="120"/>
      <c r="H62" s="120"/>
    </row>
    <row r="63" spans="1:8" ht="12">
      <c r="A63" s="120"/>
      <c r="B63" s="120"/>
      <c r="C63" s="120"/>
      <c r="D63" s="120"/>
      <c r="E63" s="120"/>
      <c r="F63" s="120"/>
      <c r="G63" s="120"/>
      <c r="H63" s="120"/>
    </row>
    <row r="64" spans="1:8" ht="12">
      <c r="A64" s="120"/>
      <c r="B64" s="120"/>
      <c r="C64" s="120"/>
      <c r="D64" s="120"/>
      <c r="E64" s="120"/>
      <c r="F64" s="120"/>
      <c r="G64" s="120"/>
      <c r="H64" s="120"/>
    </row>
    <row r="65" spans="1:8" ht="12">
      <c r="A65" s="120"/>
      <c r="B65" s="120"/>
      <c r="C65" s="120"/>
      <c r="D65" s="120"/>
      <c r="E65" s="120"/>
      <c r="F65" s="120"/>
      <c r="G65" s="120"/>
      <c r="H65" s="120"/>
    </row>
    <row r="66" spans="1:2" ht="15">
      <c r="A66" s="21" t="s">
        <v>88</v>
      </c>
      <c r="B66" s="22">
        <v>27000</v>
      </c>
    </row>
    <row r="67" spans="1:2" ht="15">
      <c r="A67" s="21" t="s">
        <v>82</v>
      </c>
      <c r="B67" s="30">
        <v>0.3</v>
      </c>
    </row>
    <row r="68" spans="1:2" ht="15">
      <c r="A68" s="21" t="s">
        <v>89</v>
      </c>
      <c r="B68" s="82">
        <f>B66*B67</f>
        <v>8100</v>
      </c>
    </row>
    <row r="69" spans="1:9" ht="12">
      <c r="A69" s="119" t="s">
        <v>99</v>
      </c>
      <c r="B69" s="120"/>
      <c r="C69" s="120"/>
      <c r="D69" s="120"/>
      <c r="E69" s="120"/>
      <c r="F69" s="120"/>
      <c r="G69" s="120"/>
      <c r="H69" s="120"/>
      <c r="I69" s="120"/>
    </row>
    <row r="70" spans="1:9" ht="12">
      <c r="A70" s="120"/>
      <c r="B70" s="120"/>
      <c r="C70" s="120"/>
      <c r="D70" s="120"/>
      <c r="E70" s="120"/>
      <c r="F70" s="120"/>
      <c r="G70" s="120"/>
      <c r="H70" s="120"/>
      <c r="I70" s="120"/>
    </row>
    <row r="71" spans="1:9" ht="12">
      <c r="A71" s="120"/>
      <c r="B71" s="120"/>
      <c r="C71" s="120"/>
      <c r="D71" s="120"/>
      <c r="E71" s="120"/>
      <c r="F71" s="120"/>
      <c r="G71" s="120"/>
      <c r="H71" s="120"/>
      <c r="I71" s="120"/>
    </row>
    <row r="72" spans="1:9" ht="12">
      <c r="A72" s="120"/>
      <c r="B72" s="120"/>
      <c r="C72" s="120"/>
      <c r="D72" s="120"/>
      <c r="E72" s="120"/>
      <c r="F72" s="120"/>
      <c r="G72" s="120"/>
      <c r="H72" s="120"/>
      <c r="I72" s="120"/>
    </row>
    <row r="73" spans="1:2" ht="15">
      <c r="A73" s="21" t="s">
        <v>90</v>
      </c>
      <c r="B73" s="22">
        <v>2400</v>
      </c>
    </row>
    <row r="74" spans="1:2" ht="15">
      <c r="A74" s="21" t="s">
        <v>82</v>
      </c>
      <c r="B74" s="30">
        <v>0.4</v>
      </c>
    </row>
    <row r="75" spans="1:2" ht="15">
      <c r="A75" s="21" t="s">
        <v>88</v>
      </c>
      <c r="B75" s="82">
        <f>B73/(1-B74)</f>
        <v>4000</v>
      </c>
    </row>
  </sheetData>
  <sheetProtection/>
  <mergeCells count="7">
    <mergeCell ref="A50:E53"/>
    <mergeCell ref="A69:I72"/>
    <mergeCell ref="A1:I5"/>
    <mergeCell ref="A9:I13"/>
    <mergeCell ref="A29:I32"/>
    <mergeCell ref="A36:I39"/>
    <mergeCell ref="A62:H6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3" sqref="D3"/>
    </sheetView>
  </sheetViews>
  <sheetFormatPr defaultColWidth="9.125" defaultRowHeight="12.75"/>
  <cols>
    <col min="1" max="1" width="18.125" style="78" customWidth="1"/>
    <col min="2" max="2" width="12.75390625" style="58" customWidth="1"/>
    <col min="3" max="3" width="9.25390625" style="58" customWidth="1"/>
    <col min="4" max="4" width="15.00390625" style="58" customWidth="1"/>
    <col min="5" max="5" width="17.75390625" style="58" customWidth="1"/>
    <col min="6" max="6" width="9.125" style="58" customWidth="1"/>
    <col min="7" max="7" width="5.75390625" style="58" customWidth="1"/>
    <col min="8" max="16384" width="9.125" style="58" customWidth="1"/>
  </cols>
  <sheetData>
    <row r="1" spans="1:256" ht="12.75">
      <c r="A1" s="53" t="s">
        <v>120</v>
      </c>
      <c r="B1" s="54"/>
      <c r="C1" s="54"/>
      <c r="D1" s="54"/>
      <c r="E1" s="54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6" ht="12.75">
      <c r="A2" s="56" t="s">
        <v>121</v>
      </c>
      <c r="B2" s="57"/>
      <c r="F2" s="56" t="s">
        <v>122</v>
      </c>
    </row>
    <row r="3" spans="1:6" ht="13.5" thickBot="1">
      <c r="A3" s="59" t="s">
        <v>123</v>
      </c>
      <c r="B3" s="60">
        <v>3000</v>
      </c>
      <c r="E3" s="61" t="s">
        <v>0</v>
      </c>
      <c r="F3" s="62">
        <f>B5*B7</f>
        <v>9000</v>
      </c>
    </row>
    <row r="4" spans="1:6" ht="13.5" thickBot="1">
      <c r="A4" s="59" t="s">
        <v>124</v>
      </c>
      <c r="B4" s="60">
        <v>20</v>
      </c>
      <c r="E4" s="61" t="s">
        <v>125</v>
      </c>
      <c r="F4" s="62">
        <f>B4*B7</f>
        <v>6000</v>
      </c>
    </row>
    <row r="5" spans="1:6" ht="12.75">
      <c r="A5" s="63" t="s">
        <v>126</v>
      </c>
      <c r="B5" s="60">
        <v>30</v>
      </c>
      <c r="E5" s="61" t="s">
        <v>67</v>
      </c>
      <c r="F5" s="62">
        <f>F3-F4</f>
        <v>3000</v>
      </c>
    </row>
    <row r="6" spans="1:6" ht="13.5" thickBot="1">
      <c r="A6" s="63"/>
      <c r="B6" s="64"/>
      <c r="E6" s="61" t="s">
        <v>106</v>
      </c>
      <c r="F6" s="62">
        <f>B3</f>
        <v>3000</v>
      </c>
    </row>
    <row r="7" spans="1:6" ht="13.5" thickBot="1" thickTop="1">
      <c r="A7" s="65" t="s">
        <v>127</v>
      </c>
      <c r="B7" s="66">
        <f>B3/(B5-B4)</f>
        <v>300</v>
      </c>
      <c r="E7" s="61" t="s">
        <v>128</v>
      </c>
      <c r="F7" s="62">
        <f>F5-F6</f>
        <v>0</v>
      </c>
    </row>
    <row r="8" spans="1:2" ht="13.5" thickBot="1" thickTop="1">
      <c r="A8" s="67" t="s">
        <v>129</v>
      </c>
      <c r="B8" s="68">
        <f>B3/(1-(B4/B5))</f>
        <v>8999.999999999998</v>
      </c>
    </row>
    <row r="9" spans="1:2" ht="12.75" thickTop="1">
      <c r="A9" s="58"/>
      <c r="B9" s="69"/>
    </row>
    <row r="10" spans="1:6" ht="12.75">
      <c r="A10" s="70" t="s">
        <v>130</v>
      </c>
      <c r="B10" s="71" t="s">
        <v>0</v>
      </c>
      <c r="C10" s="72" t="s">
        <v>35</v>
      </c>
      <c r="D10" s="72" t="s">
        <v>131</v>
      </c>
      <c r="E10" s="73" t="s">
        <v>132</v>
      </c>
      <c r="F10" s="72" t="s">
        <v>133</v>
      </c>
    </row>
    <row r="11" spans="1:6" ht="12">
      <c r="A11" s="74">
        <v>0</v>
      </c>
      <c r="B11" s="75">
        <f>$B$5*A11</f>
        <v>0</v>
      </c>
      <c r="C11" s="75">
        <f>$B$3</f>
        <v>3000</v>
      </c>
      <c r="D11" s="75">
        <f>$B$4*A11</f>
        <v>0</v>
      </c>
      <c r="E11" s="75">
        <f>D11+C11</f>
        <v>3000</v>
      </c>
      <c r="F11" s="75">
        <f>B11-E11</f>
        <v>-3000</v>
      </c>
    </row>
    <row r="12" spans="1:6" ht="12">
      <c r="A12" s="74">
        <f>(2*$B$7)*0.1</f>
        <v>60</v>
      </c>
      <c r="B12" s="75">
        <f>$B$5*A12</f>
        <v>1800</v>
      </c>
      <c r="C12" s="75">
        <f aca="true" t="shared" si="0" ref="C12:C21">$B$3</f>
        <v>3000</v>
      </c>
      <c r="D12" s="75">
        <f>$B$4*A12</f>
        <v>1200</v>
      </c>
      <c r="E12" s="75">
        <f>D12+C12</f>
        <v>4200</v>
      </c>
      <c r="F12" s="75">
        <f>B12-E12</f>
        <v>-2400</v>
      </c>
    </row>
    <row r="13" spans="1:6" ht="12">
      <c r="A13" s="74">
        <f>(2*$B$7)*0.2</f>
        <v>120</v>
      </c>
      <c r="B13" s="75">
        <f>$B$5*A13</f>
        <v>3600</v>
      </c>
      <c r="C13" s="75">
        <f t="shared" si="0"/>
        <v>3000</v>
      </c>
      <c r="D13" s="75">
        <f>$B$4*A13</f>
        <v>2400</v>
      </c>
      <c r="E13" s="75">
        <f>D13+C13</f>
        <v>5400</v>
      </c>
      <c r="F13" s="75">
        <f>B13-E13</f>
        <v>-1800</v>
      </c>
    </row>
    <row r="14" spans="1:6" ht="12">
      <c r="A14" s="74">
        <f>(2*$B$7)*0.3</f>
        <v>180</v>
      </c>
      <c r="B14" s="75">
        <f aca="true" t="shared" si="1" ref="B14:B21">$B$5*A14</f>
        <v>5400</v>
      </c>
      <c r="C14" s="75">
        <f t="shared" si="0"/>
        <v>3000</v>
      </c>
      <c r="D14" s="75">
        <f aca="true" t="shared" si="2" ref="D14:D21">$B$4*A14</f>
        <v>3600</v>
      </c>
      <c r="E14" s="75">
        <f aca="true" t="shared" si="3" ref="E14:E21">D14+C14</f>
        <v>6600</v>
      </c>
      <c r="F14" s="75">
        <f aca="true" t="shared" si="4" ref="F14:F21">B14-E14</f>
        <v>-1200</v>
      </c>
    </row>
    <row r="15" spans="1:6" ht="12">
      <c r="A15" s="74">
        <f>(2*$B$7)*0.4</f>
        <v>240</v>
      </c>
      <c r="B15" s="75">
        <f t="shared" si="1"/>
        <v>7200</v>
      </c>
      <c r="C15" s="75">
        <f t="shared" si="0"/>
        <v>3000</v>
      </c>
      <c r="D15" s="75">
        <f t="shared" si="2"/>
        <v>4800</v>
      </c>
      <c r="E15" s="75">
        <f t="shared" si="3"/>
        <v>7800</v>
      </c>
      <c r="F15" s="75">
        <f t="shared" si="4"/>
        <v>-600</v>
      </c>
    </row>
    <row r="16" spans="1:6" ht="12">
      <c r="A16" s="76">
        <f>(2*$B$7)*0.5</f>
        <v>300</v>
      </c>
      <c r="B16" s="75">
        <f t="shared" si="1"/>
        <v>9000</v>
      </c>
      <c r="C16" s="75">
        <f t="shared" si="0"/>
        <v>3000</v>
      </c>
      <c r="D16" s="75">
        <f t="shared" si="2"/>
        <v>6000</v>
      </c>
      <c r="E16" s="75">
        <f t="shared" si="3"/>
        <v>9000</v>
      </c>
      <c r="F16" s="77">
        <f t="shared" si="4"/>
        <v>0</v>
      </c>
    </row>
    <row r="17" spans="1:6" ht="12">
      <c r="A17" s="74">
        <f>(2*$B$7)*0.6</f>
        <v>360</v>
      </c>
      <c r="B17" s="75">
        <f t="shared" si="1"/>
        <v>10800</v>
      </c>
      <c r="C17" s="75">
        <f t="shared" si="0"/>
        <v>3000</v>
      </c>
      <c r="D17" s="75">
        <f t="shared" si="2"/>
        <v>7200</v>
      </c>
      <c r="E17" s="75">
        <f t="shared" si="3"/>
        <v>10200</v>
      </c>
      <c r="F17" s="75">
        <f t="shared" si="4"/>
        <v>600</v>
      </c>
    </row>
    <row r="18" spans="1:6" ht="12">
      <c r="A18" s="74">
        <f>(2*$B$7)*0.7</f>
        <v>420</v>
      </c>
      <c r="B18" s="75">
        <f t="shared" si="1"/>
        <v>12600</v>
      </c>
      <c r="C18" s="75">
        <f t="shared" si="0"/>
        <v>3000</v>
      </c>
      <c r="D18" s="75">
        <f t="shared" si="2"/>
        <v>8400</v>
      </c>
      <c r="E18" s="75">
        <f t="shared" si="3"/>
        <v>11400</v>
      </c>
      <c r="F18" s="75">
        <f t="shared" si="4"/>
        <v>1200</v>
      </c>
    </row>
    <row r="19" spans="1:6" ht="12">
      <c r="A19" s="74">
        <f>(2*$B$7)*0.8</f>
        <v>480</v>
      </c>
      <c r="B19" s="75">
        <f t="shared" si="1"/>
        <v>14400</v>
      </c>
      <c r="C19" s="75">
        <f t="shared" si="0"/>
        <v>3000</v>
      </c>
      <c r="D19" s="75">
        <f t="shared" si="2"/>
        <v>9600</v>
      </c>
      <c r="E19" s="75">
        <f t="shared" si="3"/>
        <v>12600</v>
      </c>
      <c r="F19" s="75">
        <f t="shared" si="4"/>
        <v>1800</v>
      </c>
    </row>
    <row r="20" spans="1:6" ht="12">
      <c r="A20" s="74">
        <f>(2*$B$7)*0.9</f>
        <v>540</v>
      </c>
      <c r="B20" s="75">
        <f t="shared" si="1"/>
        <v>16200</v>
      </c>
      <c r="C20" s="75">
        <f t="shared" si="0"/>
        <v>3000</v>
      </c>
      <c r="D20" s="75">
        <f t="shared" si="2"/>
        <v>10800</v>
      </c>
      <c r="E20" s="75">
        <f t="shared" si="3"/>
        <v>13800</v>
      </c>
      <c r="F20" s="75">
        <f t="shared" si="4"/>
        <v>2400</v>
      </c>
    </row>
    <row r="21" spans="1:6" ht="12">
      <c r="A21" s="74">
        <f>2*$B$7</f>
        <v>600</v>
      </c>
      <c r="B21" s="75">
        <f t="shared" si="1"/>
        <v>18000</v>
      </c>
      <c r="C21" s="75">
        <f t="shared" si="0"/>
        <v>3000</v>
      </c>
      <c r="D21" s="75">
        <f t="shared" si="2"/>
        <v>12000</v>
      </c>
      <c r="E21" s="75">
        <f t="shared" si="3"/>
        <v>15000</v>
      </c>
      <c r="F21" s="75">
        <f t="shared" si="4"/>
        <v>3000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\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dcd1</dc:creator>
  <cp:keywords/>
  <dc:description/>
  <cp:lastModifiedBy>user</cp:lastModifiedBy>
  <cp:lastPrinted>2009-01-19T08:54:50Z</cp:lastPrinted>
  <dcterms:created xsi:type="dcterms:W3CDTF">2001-04-20T10:04:47Z</dcterms:created>
  <dcterms:modified xsi:type="dcterms:W3CDTF">2020-05-03T09:23:18Z</dcterms:modified>
  <cp:category/>
  <cp:version/>
  <cp:contentType/>
  <cp:contentStatus/>
</cp:coreProperties>
</file>