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ΣΠΟΥΔΑΣΤΕΣ" sheetId="26" r:id="rId1"/>
    <sheet name="1" sheetId="12" r:id="rId2"/>
    <sheet name="2" sheetId="13" r:id="rId3"/>
    <sheet name="3" sheetId="14" r:id="rId4"/>
    <sheet name="4" sheetId="2" r:id="rId5"/>
    <sheet name="5" sheetId="16" r:id="rId6"/>
    <sheet name="6" sheetId="17" r:id="rId7"/>
    <sheet name="7" sheetId="20" r:id="rId8"/>
    <sheet name="8" sheetId="21" r:id="rId9"/>
    <sheet name="9" sheetId="22" r:id="rId10"/>
    <sheet name="10" sheetId="23" r:id="rId11"/>
    <sheet name="0" sheetId="24" r:id="rId12"/>
  </sheets>
  <calcPr calcId="145621"/>
</workbook>
</file>

<file path=xl/calcChain.xml><?xml version="1.0" encoding="utf-8"?>
<calcChain xmlns="http://schemas.openxmlformats.org/spreadsheetml/2006/main">
  <c r="D118" i="22" l="1"/>
  <c r="D119" i="22" s="1"/>
  <c r="D120" i="22" s="1"/>
  <c r="D121" i="22" s="1"/>
  <c r="C118" i="22"/>
  <c r="C119" i="22" s="1"/>
  <c r="C120" i="22" s="1"/>
  <c r="D112" i="22"/>
  <c r="D113" i="22" s="1"/>
  <c r="D114" i="22" s="1"/>
  <c r="D115" i="22" s="1"/>
  <c r="D116" i="22" s="1"/>
  <c r="C112" i="22"/>
  <c r="C113" i="22" s="1"/>
  <c r="C114" i="22" s="1"/>
  <c r="C115" i="22" s="1"/>
  <c r="B112" i="22"/>
  <c r="F112" i="22" s="1"/>
  <c r="I111" i="22"/>
  <c r="F111" i="22"/>
  <c r="E111" i="22"/>
  <c r="D105" i="22"/>
  <c r="D106" i="22" s="1"/>
  <c r="D107" i="22" s="1"/>
  <c r="D108" i="22" s="1"/>
  <c r="C105" i="22"/>
  <c r="C106" i="22" s="1"/>
  <c r="C107" i="22" s="1"/>
  <c r="C108" i="22" s="1"/>
  <c r="D104" i="22"/>
  <c r="C104" i="22"/>
  <c r="B104" i="22"/>
  <c r="E104" i="22" s="1"/>
  <c r="I103" i="22"/>
  <c r="F103" i="22"/>
  <c r="E103" i="22"/>
  <c r="D99" i="22"/>
  <c r="D100" i="22" s="1"/>
  <c r="D101" i="22" s="1"/>
  <c r="D102" i="22" s="1"/>
  <c r="D98" i="22"/>
  <c r="C98" i="22"/>
  <c r="C99" i="22" s="1"/>
  <c r="C100" i="22" s="1"/>
  <c r="C101" i="22" s="1"/>
  <c r="C102" i="22" s="1"/>
  <c r="B98" i="22"/>
  <c r="F98" i="22" s="1"/>
  <c r="I97" i="22"/>
  <c r="F97" i="22"/>
  <c r="E97" i="22"/>
  <c r="F94" i="22"/>
  <c r="F88" i="22"/>
  <c r="F86" i="22"/>
  <c r="C85" i="22"/>
  <c r="C86" i="22" s="1"/>
  <c r="C87" i="22" s="1"/>
  <c r="C88" i="22" s="1"/>
  <c r="C89" i="22" s="1"/>
  <c r="C90" i="22" s="1"/>
  <c r="C91" i="22" s="1"/>
  <c r="C92" i="22" s="1"/>
  <c r="C93" i="22" s="1"/>
  <c r="C94" i="22" s="1"/>
  <c r="D84" i="22"/>
  <c r="D85" i="22" s="1"/>
  <c r="D86" i="22" s="1"/>
  <c r="D87" i="22" s="1"/>
  <c r="D88" i="22" s="1"/>
  <c r="D89" i="22" s="1"/>
  <c r="D90" i="22" s="1"/>
  <c r="D91" i="22" s="1"/>
  <c r="D92" i="22" s="1"/>
  <c r="D93" i="22" s="1"/>
  <c r="D94" i="22" s="1"/>
  <c r="C84" i="22"/>
  <c r="B84" i="22"/>
  <c r="B85" i="22" s="1"/>
  <c r="B86" i="22" s="1"/>
  <c r="B87" i="22" s="1"/>
  <c r="B88" i="22" s="1"/>
  <c r="B89" i="22" s="1"/>
  <c r="B90" i="22" s="1"/>
  <c r="B91" i="22" s="1"/>
  <c r="B92" i="22" s="1"/>
  <c r="B93" i="22" s="1"/>
  <c r="B94" i="22" s="1"/>
  <c r="F80" i="22"/>
  <c r="F74" i="22"/>
  <c r="F72" i="22"/>
  <c r="B71" i="22"/>
  <c r="B72" i="22" s="1"/>
  <c r="B73" i="22" s="1"/>
  <c r="B74" i="22" s="1"/>
  <c r="B75" i="22" s="1"/>
  <c r="B76" i="22" s="1"/>
  <c r="B77" i="22" s="1"/>
  <c r="B78" i="22" s="1"/>
  <c r="B79" i="22" s="1"/>
  <c r="B80" i="22" s="1"/>
  <c r="D70" i="22"/>
  <c r="D71" i="22" s="1"/>
  <c r="D72" i="22" s="1"/>
  <c r="D73" i="22" s="1"/>
  <c r="D74" i="22" s="1"/>
  <c r="D75" i="22" s="1"/>
  <c r="D76" i="22" s="1"/>
  <c r="D77" i="22" s="1"/>
  <c r="D78" i="22" s="1"/>
  <c r="D79" i="22" s="1"/>
  <c r="D80" i="22" s="1"/>
  <c r="C70" i="22"/>
  <c r="C71" i="22" s="1"/>
  <c r="C72" i="22" s="1"/>
  <c r="C73" i="22" s="1"/>
  <c r="C74" i="22" s="1"/>
  <c r="C75" i="22" s="1"/>
  <c r="C76" i="22" s="1"/>
  <c r="C77" i="22" s="1"/>
  <c r="C78" i="22" s="1"/>
  <c r="C79" i="22" s="1"/>
  <c r="C80" i="22" s="1"/>
  <c r="B70" i="22"/>
  <c r="I64" i="22"/>
  <c r="I63" i="22"/>
  <c r="F63" i="22"/>
  <c r="E63" i="22"/>
  <c r="I62" i="22"/>
  <c r="F62" i="22"/>
  <c r="E62" i="22"/>
  <c r="I61" i="22"/>
  <c r="F61" i="22"/>
  <c r="E61" i="22"/>
  <c r="D60" i="22"/>
  <c r="D61" i="22" s="1"/>
  <c r="D62" i="22" s="1"/>
  <c r="D63" i="22" s="1"/>
  <c r="C60" i="22"/>
  <c r="C61" i="22" s="1"/>
  <c r="C62" i="22" s="1"/>
  <c r="B60" i="22"/>
  <c r="E60" i="22" s="1"/>
  <c r="I59" i="22"/>
  <c r="I58" i="22"/>
  <c r="F58" i="22"/>
  <c r="E58" i="22"/>
  <c r="I57" i="22"/>
  <c r="F57" i="22"/>
  <c r="E57" i="22"/>
  <c r="I56" i="22"/>
  <c r="F56" i="22"/>
  <c r="E56" i="22"/>
  <c r="D54" i="22"/>
  <c r="D55" i="22" s="1"/>
  <c r="D56" i="22" s="1"/>
  <c r="D57" i="22" s="1"/>
  <c r="D58" i="22" s="1"/>
  <c r="C54" i="22"/>
  <c r="C55" i="22" s="1"/>
  <c r="C56" i="22" s="1"/>
  <c r="C57" i="22" s="1"/>
  <c r="B54" i="22"/>
  <c r="E54" i="22" s="1"/>
  <c r="I53" i="22"/>
  <c r="F53" i="22"/>
  <c r="E53" i="22"/>
  <c r="D47" i="22"/>
  <c r="D48" i="22" s="1"/>
  <c r="D49" i="22" s="1"/>
  <c r="D50" i="22" s="1"/>
  <c r="D46" i="22"/>
  <c r="C46" i="22"/>
  <c r="C47" i="22" s="1"/>
  <c r="C48" i="22" s="1"/>
  <c r="C49" i="22" s="1"/>
  <c r="C50" i="22" s="1"/>
  <c r="B46" i="22"/>
  <c r="F46" i="22" s="1"/>
  <c r="I45" i="22"/>
  <c r="F45" i="22"/>
  <c r="E45" i="22"/>
  <c r="D40" i="22"/>
  <c r="D41" i="22" s="1"/>
  <c r="D42" i="22" s="1"/>
  <c r="D43" i="22" s="1"/>
  <c r="D44" i="22" s="1"/>
  <c r="C40" i="22"/>
  <c r="C41" i="22" s="1"/>
  <c r="C42" i="22" s="1"/>
  <c r="C43" i="22" s="1"/>
  <c r="C44" i="22" s="1"/>
  <c r="B40" i="22"/>
  <c r="F40" i="22" s="1"/>
  <c r="I39" i="22"/>
  <c r="F39" i="22"/>
  <c r="E39" i="22"/>
  <c r="F36" i="22"/>
  <c r="F30" i="22"/>
  <c r="F28" i="22"/>
  <c r="D26" i="22"/>
  <c r="D27" i="22" s="1"/>
  <c r="D28" i="22" s="1"/>
  <c r="D29" i="22" s="1"/>
  <c r="D30" i="22" s="1"/>
  <c r="D31" i="22" s="1"/>
  <c r="D32" i="22" s="1"/>
  <c r="D33" i="22" s="1"/>
  <c r="D34" i="22" s="1"/>
  <c r="D35" i="22" s="1"/>
  <c r="D36" i="22" s="1"/>
  <c r="C26" i="22"/>
  <c r="C27" i="22" s="1"/>
  <c r="C28" i="22" s="1"/>
  <c r="C29" i="22" s="1"/>
  <c r="C30" i="22" s="1"/>
  <c r="C31" i="22" s="1"/>
  <c r="C32" i="22" s="1"/>
  <c r="C33" i="22" s="1"/>
  <c r="C34" i="22" s="1"/>
  <c r="C35" i="22" s="1"/>
  <c r="C36" i="22" s="1"/>
  <c r="B26" i="22"/>
  <c r="B27" i="22" s="1"/>
  <c r="B28" i="22" s="1"/>
  <c r="B29" i="22" s="1"/>
  <c r="B30" i="22" s="1"/>
  <c r="B31" i="22" s="1"/>
  <c r="B32" i="22" s="1"/>
  <c r="B33" i="22" s="1"/>
  <c r="B34" i="22" s="1"/>
  <c r="B35" i="22" s="1"/>
  <c r="B36" i="22" s="1"/>
  <c r="F22" i="22"/>
  <c r="F16" i="22"/>
  <c r="F14" i="22"/>
  <c r="D14" i="22"/>
  <c r="D15" i="22" s="1"/>
  <c r="D16" i="22" s="1"/>
  <c r="D17" i="22" s="1"/>
  <c r="D18" i="22" s="1"/>
  <c r="D19" i="22" s="1"/>
  <c r="D20" i="22" s="1"/>
  <c r="D21" i="22" s="1"/>
  <c r="D22" i="22" s="1"/>
  <c r="D13" i="22"/>
  <c r="D12" i="22"/>
  <c r="C12" i="22"/>
  <c r="C13" i="22" s="1"/>
  <c r="C14" i="22" s="1"/>
  <c r="C15" i="22" s="1"/>
  <c r="C16" i="22" s="1"/>
  <c r="C17" i="22" s="1"/>
  <c r="C18" i="22" s="1"/>
  <c r="C19" i="22" s="1"/>
  <c r="C20" i="22" s="1"/>
  <c r="C21" i="22" s="1"/>
  <c r="C22" i="22" s="1"/>
  <c r="B12" i="22"/>
  <c r="B13" i="22" s="1"/>
  <c r="B14" i="22" s="1"/>
  <c r="B15" i="22" s="1"/>
  <c r="B16" i="22" s="1"/>
  <c r="B17" i="22" s="1"/>
  <c r="B18" i="22" s="1"/>
  <c r="B19" i="22" s="1"/>
  <c r="B20" i="22" s="1"/>
  <c r="B21" i="22" s="1"/>
  <c r="B22" i="22" s="1"/>
  <c r="E81" i="21"/>
  <c r="D81" i="21"/>
  <c r="C81" i="21"/>
  <c r="B81" i="21"/>
  <c r="E80" i="21"/>
  <c r="D80" i="21"/>
  <c r="C80" i="21"/>
  <c r="B80" i="21"/>
  <c r="E79" i="21"/>
  <c r="D79" i="21"/>
  <c r="C79" i="21"/>
  <c r="B79" i="21"/>
  <c r="E78" i="21"/>
  <c r="D78" i="21"/>
  <c r="C78" i="21"/>
  <c r="B78" i="21"/>
  <c r="E77" i="21"/>
  <c r="D77" i="21"/>
  <c r="C77" i="21"/>
  <c r="B77" i="21"/>
  <c r="E76" i="21"/>
  <c r="D76" i="21"/>
  <c r="C76" i="21"/>
  <c r="B76" i="21"/>
  <c r="E75" i="21"/>
  <c r="D75" i="21"/>
  <c r="C75" i="21"/>
  <c r="B75" i="21"/>
  <c r="E74" i="21"/>
  <c r="D74" i="21"/>
  <c r="C74" i="21"/>
  <c r="B74" i="21"/>
  <c r="E73" i="21"/>
  <c r="D73" i="21"/>
  <c r="C73" i="21"/>
  <c r="B73" i="21"/>
  <c r="E72" i="21"/>
  <c r="D72" i="21"/>
  <c r="C72" i="21"/>
  <c r="B72" i="21"/>
  <c r="E70" i="21"/>
  <c r="D70" i="21"/>
  <c r="C70" i="21"/>
  <c r="B70" i="21"/>
  <c r="E55" i="21"/>
  <c r="D55" i="21"/>
  <c r="C55" i="21"/>
  <c r="B55" i="21"/>
  <c r="E54" i="21"/>
  <c r="D54" i="21"/>
  <c r="C54" i="21"/>
  <c r="B54" i="21"/>
  <c r="E53" i="21"/>
  <c r="D53" i="21"/>
  <c r="C53" i="21"/>
  <c r="B53" i="21"/>
  <c r="E52" i="21"/>
  <c r="D52" i="21"/>
  <c r="C52" i="21"/>
  <c r="B52" i="21"/>
  <c r="E51" i="21"/>
  <c r="D51" i="21"/>
  <c r="C51" i="21"/>
  <c r="B51" i="21"/>
  <c r="E50" i="21"/>
  <c r="D50" i="21"/>
  <c r="C50" i="21"/>
  <c r="B50" i="21"/>
  <c r="E49" i="21"/>
  <c r="D49" i="21"/>
  <c r="C49" i="21"/>
  <c r="B49" i="21"/>
  <c r="E48" i="21"/>
  <c r="D48" i="21"/>
  <c r="C48" i="21"/>
  <c r="B48" i="21"/>
  <c r="E47" i="21"/>
  <c r="D47" i="21"/>
  <c r="C47" i="21"/>
  <c r="B47" i="21"/>
  <c r="E46" i="21"/>
  <c r="D46" i="21"/>
  <c r="C46" i="21"/>
  <c r="B46" i="21"/>
  <c r="E44" i="21"/>
  <c r="D44" i="21"/>
  <c r="C44" i="21"/>
  <c r="B44" i="21"/>
  <c r="M21" i="20"/>
  <c r="L21" i="20"/>
  <c r="K21" i="20"/>
  <c r="J21" i="20"/>
  <c r="I21" i="20"/>
  <c r="H21" i="20"/>
  <c r="G21" i="20"/>
  <c r="F21" i="20"/>
  <c r="E21" i="20"/>
  <c r="D21" i="20"/>
  <c r="C21" i="20"/>
  <c r="B21" i="20"/>
  <c r="I112" i="22" l="1"/>
  <c r="B113" i="22"/>
  <c r="I40" i="22"/>
  <c r="I98" i="22"/>
  <c r="B41" i="22"/>
  <c r="F41" i="22" s="1"/>
  <c r="E112" i="22"/>
  <c r="F60" i="22"/>
  <c r="I60" i="22"/>
  <c r="E46" i="22"/>
  <c r="B47" i="22"/>
  <c r="I46" i="22"/>
  <c r="B55" i="22"/>
  <c r="I54" i="22"/>
  <c r="F54" i="22"/>
  <c r="F104" i="22"/>
  <c r="E40" i="22"/>
  <c r="B99" i="22"/>
  <c r="I104" i="22"/>
  <c r="B114" i="22"/>
  <c r="E98" i="22"/>
  <c r="B105" i="22"/>
  <c r="E113" i="22"/>
  <c r="E9" i="17"/>
  <c r="D9" i="17"/>
  <c r="C9" i="17"/>
  <c r="B9" i="17"/>
  <c r="F8" i="17"/>
  <c r="F7" i="17"/>
  <c r="F6" i="17"/>
  <c r="F9" i="17" s="1"/>
  <c r="I41" i="22" l="1"/>
  <c r="E41" i="22"/>
  <c r="B42" i="22"/>
  <c r="F113" i="22"/>
  <c r="I113" i="22"/>
  <c r="B115" i="22"/>
  <c r="I114" i="22"/>
  <c r="E114" i="22"/>
  <c r="F114" i="22"/>
  <c r="I47" i="22"/>
  <c r="F47" i="22"/>
  <c r="B48" i="22"/>
  <c r="E47" i="22"/>
  <c r="I105" i="22"/>
  <c r="F105" i="22"/>
  <c r="E105" i="22"/>
  <c r="B106" i="22"/>
  <c r="B100" i="22"/>
  <c r="I99" i="22"/>
  <c r="F99" i="22"/>
  <c r="E99" i="22"/>
  <c r="F55" i="22"/>
  <c r="E55" i="22"/>
  <c r="I55" i="22"/>
  <c r="F42" i="22"/>
  <c r="E42" i="22"/>
  <c r="B43" i="22"/>
  <c r="I42" i="22"/>
  <c r="F100" i="22" l="1"/>
  <c r="E100" i="22"/>
  <c r="B101" i="22"/>
  <c r="I100" i="22"/>
  <c r="F115" i="22"/>
  <c r="E115" i="22"/>
  <c r="I115" i="22"/>
  <c r="B116" i="22"/>
  <c r="E106" i="22"/>
  <c r="B107" i="22"/>
  <c r="F106" i="22"/>
  <c r="I106" i="22"/>
  <c r="E48" i="22"/>
  <c r="B49" i="22"/>
  <c r="I48" i="22"/>
  <c r="F48" i="22"/>
  <c r="B44" i="22"/>
  <c r="I43" i="22"/>
  <c r="E43" i="22"/>
  <c r="F43" i="22"/>
  <c r="E116" i="22" l="1"/>
  <c r="B117" i="22"/>
  <c r="I116" i="22"/>
  <c r="F116" i="22"/>
  <c r="B102" i="22"/>
  <c r="I101" i="22"/>
  <c r="F101" i="22"/>
  <c r="E101" i="22"/>
  <c r="I49" i="22"/>
  <c r="F49" i="22"/>
  <c r="E49" i="22"/>
  <c r="B50" i="22"/>
  <c r="I107" i="22"/>
  <c r="F107" i="22"/>
  <c r="B108" i="22"/>
  <c r="E107" i="22"/>
  <c r="F44" i="22"/>
  <c r="E44" i="22"/>
  <c r="I44" i="22"/>
  <c r="F102" i="22" l="1"/>
  <c r="E102" i="22"/>
  <c r="I102" i="22"/>
  <c r="E50" i="22"/>
  <c r="I50" i="22"/>
  <c r="F50" i="22"/>
  <c r="E108" i="22"/>
  <c r="I108" i="22"/>
  <c r="F108" i="22"/>
  <c r="I117" i="22"/>
  <c r="B118" i="22"/>
  <c r="E118" i="22" l="1"/>
  <c r="B119" i="22"/>
  <c r="F118" i="22"/>
  <c r="I118" i="22"/>
  <c r="I119" i="22" l="1"/>
  <c r="F119" i="22"/>
  <c r="B120" i="22"/>
  <c r="E119" i="22"/>
  <c r="E120" i="22" l="1"/>
  <c r="B121" i="22"/>
  <c r="I120" i="22"/>
  <c r="F120" i="22"/>
  <c r="B122" i="22" l="1"/>
  <c r="I122" i="22" s="1"/>
  <c r="I121" i="22"/>
  <c r="E121" i="22"/>
  <c r="F121" i="22"/>
</calcChain>
</file>

<file path=xl/sharedStrings.xml><?xml version="1.0" encoding="utf-8"?>
<sst xmlns="http://schemas.openxmlformats.org/spreadsheetml/2006/main" count="720" uniqueCount="287">
  <si>
    <t>Rank</t>
  </si>
  <si>
    <t>Group</t>
  </si>
  <si>
    <t>Country</t>
  </si>
  <si>
    <t>Vehicles</t>
  </si>
  <si>
    <t>Toyota</t>
  </si>
  <si>
    <t> Japan</t>
  </si>
  <si>
    <t>10,213,486</t>
  </si>
  <si>
    <t>Volkswagen Group</t>
  </si>
  <si>
    <t> Germany</t>
  </si>
  <si>
    <t>10,126,281</t>
  </si>
  <si>
    <t>Hyundai / Kia</t>
  </si>
  <si>
    <t> South Korea</t>
  </si>
  <si>
    <t>7,889,538</t>
  </si>
  <si>
    <t>General Motors</t>
  </si>
  <si>
    <t> United States</t>
  </si>
  <si>
    <t>7,793,066</t>
  </si>
  <si>
    <t>Ford</t>
  </si>
  <si>
    <t>6,429,485</t>
  </si>
  <si>
    <t>Nissan</t>
  </si>
  <si>
    <t>5,556,241</t>
  </si>
  <si>
    <t>Honda</t>
  </si>
  <si>
    <t>4,999,266</t>
  </si>
  <si>
    <t>Fiat Chrysler</t>
  </si>
  <si>
    <r>
      <t> </t>
    </r>
    <r>
      <rPr>
        <sz val="11"/>
        <color rgb="FF0B0080"/>
        <rFont val="Calibri"/>
        <family val="2"/>
        <scheme val="minor"/>
      </rPr>
      <t>Italy</t>
    </r>
    <r>
      <rPr>
        <sz val="11"/>
        <color rgb="FF222222"/>
        <rFont val="Calibri"/>
        <family val="2"/>
        <scheme val="minor"/>
      </rPr>
      <t> /  </t>
    </r>
    <r>
      <rPr>
        <sz val="11"/>
        <color rgb="FF0B0080"/>
        <rFont val="Calibri"/>
        <family val="2"/>
        <scheme val="minor"/>
      </rPr>
      <t>United States</t>
    </r>
  </si>
  <si>
    <t>4,681,457</t>
  </si>
  <si>
    <t>Renault</t>
  </si>
  <si>
    <t> France</t>
  </si>
  <si>
    <t>3,373,278</t>
  </si>
  <si>
    <t>Groupe PSA</t>
  </si>
  <si>
    <t>3,152,787</t>
  </si>
  <si>
    <t>Suzuki</t>
  </si>
  <si>
    <t>2,945,295</t>
  </si>
  <si>
    <t>SAIC</t>
  </si>
  <si>
    <t> China</t>
  </si>
  <si>
    <t>2,566,793</t>
  </si>
  <si>
    <t>Daimler</t>
  </si>
  <si>
    <t>2,526,450</t>
  </si>
  <si>
    <t>BMW</t>
  </si>
  <si>
    <t>2,359,756</t>
  </si>
  <si>
    <t>Changan</t>
  </si>
  <si>
    <t>1,715,871</t>
  </si>
  <si>
    <t>Mazda</t>
  </si>
  <si>
    <t>1,586,013</t>
  </si>
  <si>
    <t>BAIC</t>
  </si>
  <si>
    <t>1,391,643</t>
  </si>
  <si>
    <t>Dongfeng Motor</t>
  </si>
  <si>
    <t>1,315,490</t>
  </si>
  <si>
    <t>Geely</t>
  </si>
  <si>
    <t>1,266,456</t>
  </si>
  <si>
    <t>Great Wall</t>
  </si>
  <si>
    <t>1,094,360</t>
  </si>
  <si>
    <t>Γ</t>
  </si>
  <si>
    <t>Α</t>
  </si>
  <si>
    <t>ΕΠΙΧΕΙΡΗΣΗ</t>
  </si>
  <si>
    <t>ΑΝΤΙΚΕΙΜΕΝΟ</t>
  </si>
  <si>
    <t>ΠΡΟΙΟΝΤΑ</t>
  </si>
  <si>
    <t>ΕΜΠΟΡΙΟ ΛΕΥΚΩΝ ΗΛΕΚΤΡΙΚΩΝ ΣΥΣΚΕΥΩΝ</t>
  </si>
  <si>
    <t>ΚΟΥΖΙΝΕΣ-ΨΥΓΕΙΑ-ΠΛΥΝΤΗΡΙΑ</t>
  </si>
  <si>
    <t>ΚΑΤΗΓΟΡΙΕΣ ΠΕΛΑΤΩΝ</t>
  </si>
  <si>
    <t>ΑΝΤΙΠΡΟΣΩΠΟΙ-ΠΕΛΑΤΕΣ ΧΟΝΔΡΙΚΗΣ-ΠΕΛΑΤΕΣ ΛΙΑΝΙΚΗΣ</t>
  </si>
  <si>
    <t>ΠΡΟΥΠΟΛΟΓΙΣΜΟΣ 2018</t>
  </si>
  <si>
    <t>ΠΩΛΗΣΕΙΣ ΣΕ ΤΕΜΑΧΙΑ</t>
  </si>
  <si>
    <t>ΚΟΥΖΙΝΕΣ</t>
  </si>
  <si>
    <t>ΨΥΓΕΙΑ</t>
  </si>
  <si>
    <t>ΠΛΥΝΤΗΡΙΑ</t>
  </si>
  <si>
    <t>ΤΙΜΕΣ ΑΓΟΡΑΣ</t>
  </si>
  <si>
    <t>ΤΙΜΕΣ ΠΩΛΗΣΗΣ</t>
  </si>
  <si>
    <t>ΠΡΟΜΗΘΕΑΣ Α.Ε.</t>
  </si>
  <si>
    <t>ΑΝΤΙΠΡΟΣΩΠΟΙ</t>
  </si>
  <si>
    <t>ΠΕΛΑΤΕΣ ΧΟΝΔΡΙΚΗΣ</t>
  </si>
  <si>
    <t>ΠΕΛΑΤΕΣ ΛΙΑΝΙΚΗΣ</t>
  </si>
  <si>
    <t>ΠΩΛΗΣΕΙΣ ΣΕ ΤΕΜ /ΚΑΤΗΓΟΡΙΑ</t>
  </si>
  <si>
    <r>
      <t xml:space="preserve">Ο ΠΑΤΕΡΑΣ ΣΑΣ ΑΝΟΙΞΕ ΛΟΓΑΡΙΑΣΜΟ ΤΑΜΙΕΥΤΗΡΙΟΥ 5000 </t>
    </r>
    <r>
      <rPr>
        <sz val="11"/>
        <color theme="1"/>
        <rFont val="Calibri"/>
        <family val="2"/>
        <charset val="161"/>
      </rPr>
      <t>€</t>
    </r>
    <r>
      <rPr>
        <sz val="11"/>
        <color theme="1"/>
        <rFont val="Calibri"/>
        <family val="2"/>
      </rPr>
      <t xml:space="preserve"> </t>
    </r>
    <r>
      <rPr>
        <sz val="11"/>
        <color theme="1"/>
        <rFont val="Calibri"/>
        <family val="2"/>
        <scheme val="minor"/>
      </rPr>
      <t>ΤΗΝ 1/1/2011.</t>
    </r>
  </si>
  <si>
    <t xml:space="preserve">ΤΑ ΕΠΟΜΕΝΑ ΧΡΟΝΙΑ ΔΕΝ ΤΟΝ ΠΕΙΡΑΞΕ , ΜΕΧΡΙ ΤΗΝ 31/12/2017 </t>
  </si>
  <si>
    <t>ΤΑ ΕΠΙΤΟΚΙΑ ΚΆΘΕ ΧΡΟΝΟΥ ΕΊΝΑΙ</t>
  </si>
  <si>
    <t>ΝΑ ΥΠΟΛΟΓΙΣΕΤΕ ΤΙ ΠΟΣΟ ΘΑ ΕΧΕΙ ΣΥΣΣΩΡΕΥΘΕΙ ΣΤΙΣ 31/12/2017.</t>
  </si>
  <si>
    <t>ΝΑ ΦΑΙΝΕΤΑΙ ΑΝΑΛΥΤΙΚΑ ΤΟ ΣΥΣΣΩΡΕΥΘΕΝ ΠΟΣΟ ΣΤΟ ΤΕΛΟΣ ΚΆΘΕ ΕΤΟΥΣ.</t>
  </si>
  <si>
    <t>ΕΤΟΣ</t>
  </si>
  <si>
    <t>ΕΠΙΤΟΚΙΟ</t>
  </si>
  <si>
    <t>ΤΟΚΟΙ ΕΤΟΥΣ</t>
  </si>
  <si>
    <t>ΤΕΛΟΣ ΕΤΟΥΣ</t>
  </si>
  <si>
    <t>ΑΡΧΗ ΕΤΟΥΣ</t>
  </si>
  <si>
    <t>ΔΗΜΗΤΡΑ  Α.Ε.</t>
  </si>
  <si>
    <t>ΠΑΡΑΓΩΓΗ-ΕΜΠΟΡΙΑ ΣΑΠΩΝΩΝ-ΣΑΜΠΟΥΑΝ</t>
  </si>
  <si>
    <t>ΣΑΠΟΥΝΙ ΠΡΑΣΙΝΟ ΣΑΠΟΥΝΙ ΛΕΥΚΟ-ΣΑΠΟΥΝΙ ΥΓΡΟ-ΣΑΜΠΟΥΑΝ</t>
  </si>
  <si>
    <t>Α ΥΛΕΣ ΠΟΥ ΧΡΗΣΙΜΟΠΟΙΟΥΝΤΑΙ</t>
  </si>
  <si>
    <t>ΠΥΡΗΝΕΛΑΙΟ</t>
  </si>
  <si>
    <t>ΠΟΤΑΣΣΑ</t>
  </si>
  <si>
    <t>ΧΛ.ΝΑΤΡΙΟ</t>
  </si>
  <si>
    <t>ΣΤΕΑΤΙΝΗ</t>
  </si>
  <si>
    <t>ΣΑΠΟΥΝΙ ΠΡΑΣΙΝΟ</t>
  </si>
  <si>
    <t>ΣΑΠΟΥΝΙ ΛΕΥΚΟ</t>
  </si>
  <si>
    <t>ΣΑΠΟΥΝΙ ΥΓΡΟ</t>
  </si>
  <si>
    <t>ΣΑΜΠΟΥΑΝ</t>
  </si>
  <si>
    <t>ΣΕ ΓΡΑΜΜΑΡΙΑ</t>
  </si>
  <si>
    <t>ΤΙΜΕΣ Α ΥΛΩΝ ΑΝΑ ΚΙΛΟ</t>
  </si>
  <si>
    <t>This is a list of largest manufacturers by production in 2016</t>
  </si>
  <si>
    <t>ΜΕΡΙΣΜΟΣ - ΚΟΣΤΟΛΟΓΗΣΗ</t>
  </si>
  <si>
    <t>ΑΣΚΗΣΗ</t>
  </si>
  <si>
    <t>Εχετε αναλάβει την διαχείριση μίας πολυκατοικίας Ζ.</t>
  </si>
  <si>
    <t>Αποτελείται από 5 διαμερίσματα Α,Β,Γ,Δ και Ε , με 30 τ.μ.,40,50,80 και 100τ.μ. αντιστοίχως.</t>
  </si>
  <si>
    <t>Στο Α διαμέρισμα κατοικούν 2 άτομα, στο Β κατοικούν 3,στό Γ κατοικούν 4 , στο Δ κατοικούν 4,και στο Ε κατοικούν 5 άτομα.</t>
  </si>
  <si>
    <r>
      <t xml:space="preserve">Τα έξοδα πετρελαίου(1,000 </t>
    </r>
    <r>
      <rPr>
        <sz val="11"/>
        <rFont val="Arial"/>
        <family val="2"/>
        <charset val="161"/>
      </rPr>
      <t>€</t>
    </r>
    <r>
      <rPr>
        <sz val="11"/>
        <rFont val="Arial Greek"/>
        <charset val="161"/>
      </rPr>
      <t>) κατανέμονται ανάλογα με τα τ.μ. του κάθε διαμερίσματος,τα έξοδα της Δ.Ε.Η.(500 €) ανάλογα με τον αριθμό των ενοίκων του κάθε διαμερίσματος,και ο μισθός της καθαρίστριας(600 €)επιβαρύνει με το ίδιο ποσό(ισομερώς) κάθε διαμέρισμα.</t>
    </r>
  </si>
  <si>
    <t>1. Να γίνει πίνακας κατανομής κοινοχρήστων.</t>
  </si>
  <si>
    <t>ΔΙΑΜ/ΤΑ</t>
  </si>
  <si>
    <t>Β</t>
  </si>
  <si>
    <t>Δ</t>
  </si>
  <si>
    <t>Ε</t>
  </si>
  <si>
    <t>ΣΥΝΟΛΟ</t>
  </si>
  <si>
    <t>ΤΕΤ.ΜΕΤΡΑ</t>
  </si>
  <si>
    <t>ΑΤΟΜΑ</t>
  </si>
  <si>
    <t>ΠΕΤΡΕΛΑΙΟ</t>
  </si>
  <si>
    <t>Δ.Ε.Η.</t>
  </si>
  <si>
    <t>ΜΙΣΘΟΣ</t>
  </si>
  <si>
    <t>ΠΛΑΝΟ ΔΡΑΣΗΣ- SALES BUDGET</t>
  </si>
  <si>
    <t>Η Επιχείρηση ''ΚΟΤΣΟΒΟΛΟΣ" Α.Ε. προγραμματίζει για την Περιφέρεια</t>
  </si>
  <si>
    <t>Δ.Μακεδονίας να πουλήσει τις παρακάτω Ηλεκτρικές Συσκευές ΦΙΛΙΠΣ.</t>
  </si>
  <si>
    <t>ΚΟΖΑΝΗ</t>
  </si>
  <si>
    <t>ΦΛΩΡΙΝΑ</t>
  </si>
  <si>
    <t>ΓΡΕΒΕΝΑ</t>
  </si>
  <si>
    <t>ΚΑΣΤΟΡΙΑ</t>
  </si>
  <si>
    <t>ΤΙΜΗ ΠΩΛΗΣΗΣ</t>
  </si>
  <si>
    <t>ΙΑΝ</t>
  </si>
  <si>
    <t>ΦΕΒ</t>
  </si>
  <si>
    <t>ΜΑΡ</t>
  </si>
  <si>
    <t>ΑΠΡ</t>
  </si>
  <si>
    <t>ΜΑΪ</t>
  </si>
  <si>
    <t>ΙΟΥΝ</t>
  </si>
  <si>
    <t>ΙΟΥΛ</t>
  </si>
  <si>
    <t>ΑΥΓ</t>
  </si>
  <si>
    <t>ΣΕΠ</t>
  </si>
  <si>
    <t>ΟΚΤ</t>
  </si>
  <si>
    <t>ΝΟΕ</t>
  </si>
  <si>
    <t>ΔΕΚ</t>
  </si>
  <si>
    <t>ΤΙΜΗ ΑΓΟΡΑΣ</t>
  </si>
  <si>
    <t>ΤΕΜΑΧΙΑ</t>
  </si>
  <si>
    <t>ΑΤΤΙΚΗ</t>
  </si>
  <si>
    <t>ΚΕΝΤΡΙΚΗ ΕΛΛΑΔΑ</t>
  </si>
  <si>
    <t>ΠΕΛΟΠΟΝΝΗΣΟΣ</t>
  </si>
  <si>
    <t>ΙΟΝΙΟΙ ΝΗΣΟΙ</t>
  </si>
  <si>
    <t>ΗΠΕΙΡΟΣ</t>
  </si>
  <si>
    <t>ΘΕΣΣΑΛΙΑ</t>
  </si>
  <si>
    <t>ΜΑΚΕΔΟΝΙΑ</t>
  </si>
  <si>
    <t>ΘΡΑΚΗ</t>
  </si>
  <si>
    <t>ΝΗΣΟΙ ΑΙΓΑΙΟΥ</t>
  </si>
  <si>
    <t>ΚΡΗΤΗ</t>
  </si>
  <si>
    <t>ΓΕΡΜΑΝΙΑ</t>
  </si>
  <si>
    <t>ΙΤΑΛΙΑ</t>
  </si>
  <si>
    <t>ΓΑΛΛΙΑ</t>
  </si>
  <si>
    <t>ΙΣΠΑΝΙΑ</t>
  </si>
  <si>
    <t>ΒΕΛΓΙΟ</t>
  </si>
  <si>
    <t>ΟΛΛΑΝΔΙΑ</t>
  </si>
  <si>
    <t>ΖΗΤΕΙΤΑΙ :</t>
  </si>
  <si>
    <r>
      <t xml:space="preserve">1. Προυπολογισμός πωλήσεων σε </t>
    </r>
    <r>
      <rPr>
        <sz val="10"/>
        <rFont val="Arial"/>
        <family val="2"/>
        <charset val="161"/>
      </rPr>
      <t>€</t>
    </r>
    <r>
      <rPr>
        <sz val="11"/>
        <color theme="1"/>
        <rFont val="Calibri"/>
        <family val="2"/>
        <scheme val="minor"/>
      </rPr>
      <t xml:space="preserve">  τριμηνιαίος και ετήσιος.(α.ανα περιφέρεια και ανα χώρα εξωτερικού.</t>
    </r>
  </si>
  <si>
    <t>ΤΡΙΜΗΝΟ Α'</t>
  </si>
  <si>
    <t>ΤΡΙΜΗΝΟ Β'</t>
  </si>
  <si>
    <t>ΤΡΙΜΗΝΟ Γ'</t>
  </si>
  <si>
    <t>ΤΡΙΜΗΝΟ Δ'</t>
  </si>
  <si>
    <t>ΠΩΛΗΣΕΙΣ</t>
  </si>
  <si>
    <t>ΜΙΚΤΟ ΚΕΡΔΟΣ</t>
  </si>
  <si>
    <t>ΤΜΗΜΑ ΟΙΚΟΝΟΜΙΚΗΣ ΑΝΑΛΥΣΗΣ</t>
  </si>
  <si>
    <t>ΠΩΛΗΣΕΙΣ 2003</t>
  </si>
  <si>
    <t>ΠΩΛΗΣΕΙΣ 2004</t>
  </si>
  <si>
    <t>ΠΩΛΗΣΕΙΣ 2005</t>
  </si>
  <si>
    <t>ΠΩΛΗΣΕΙΣ 2006</t>
  </si>
  <si>
    <t>ΙΟΥΛΙΟΣ</t>
  </si>
  <si>
    <t xml:space="preserve">ΚΟΣΤΟΣ ΠΩΛ/ΝΤΩΝ </t>
  </si>
  <si>
    <t>ΑΥΓΟΥΣΤΟΣ</t>
  </si>
  <si>
    <t>ΣΕΠΤΕΜΒΡΙΟΣ</t>
  </si>
  <si>
    <t>ΜΙΣΘΟΙ</t>
  </si>
  <si>
    <t>ΟΚΤΩΒΡΙΟΣ</t>
  </si>
  <si>
    <t>ΑΜΟΙΒ.ΤΡΙΤΩΝ</t>
  </si>
  <si>
    <t>ΝΟΕΜΒΡΙΟΣ</t>
  </si>
  <si>
    <t>ΕΞΟΔΑ ΜΑΡΚΕΤΙΝΓΚ</t>
  </si>
  <si>
    <t>ΔΕΚΕΜΒΡΙΟΣ</t>
  </si>
  <si>
    <t>ΓΕΝΙΚΑ ΕΞΟΔΑ</t>
  </si>
  <si>
    <t>ΙΑΝΟΥΑΡΙΟΣ</t>
  </si>
  <si>
    <t>ΚΑΘΑΡΟ ΚΕΡΔΟΣ</t>
  </si>
  <si>
    <t>ΦΕΒΡΟΥΑΡΙΟΣ</t>
  </si>
  <si>
    <t>ΜΑΡΤΙΟΣ</t>
  </si>
  <si>
    <t>ΑΠΡΙΛΙΟΣ</t>
  </si>
  <si>
    <t>ΜΑΙΟΣ</t>
  </si>
  <si>
    <t>ΙΟΥΝΙΟΣ</t>
  </si>
  <si>
    <t>ΜΙΣΘΟΙ 2003</t>
  </si>
  <si>
    <t>ΜΙΣΘΟΙ 2004</t>
  </si>
  <si>
    <t>ΜΙΣΘΟΙ 2005</t>
  </si>
  <si>
    <t>ΜΙΣΘΟΙ 2006</t>
  </si>
  <si>
    <t>ΓΕΝΙΚΑ ΕΞΟΔΑ 2003</t>
  </si>
  <si>
    <t>ΓΕΝΙΚΑ ΕΞΟΔΑ 2004</t>
  </si>
  <si>
    <t>ΓΕΝΙΚΑ ΕΞΟΔΑ 2005</t>
  </si>
  <si>
    <t>ΓΕΝΙΚΑ ΕΞΟΔΑ 2006</t>
  </si>
  <si>
    <t>ΑΜΟΙΒ.ΤΡΙΤΩΝ 2003</t>
  </si>
  <si>
    <t>ΑΜΟΙΒ.ΤΡΙΤΩΝ 2004</t>
  </si>
  <si>
    <t>ΑΜΟΙΒ.ΤΡΙΤΩΝ 2005</t>
  </si>
  <si>
    <t>ΑΜΟΙΒ.ΤΡΙΤΩΝ 2006</t>
  </si>
  <si>
    <t>ΕΞΟΔΑ ΜΑΡΚΕΤΙΝΓΚ 2003</t>
  </si>
  <si>
    <t>ΕΞΟΔΑ ΜΑΡΚΕΤΙΝΓΚ 2004</t>
  </si>
  <si>
    <t>ΕΞΟΔΑ ΜΑΡΚΕΤΙΝΓΚ 2005</t>
  </si>
  <si>
    <t>ΕΞΟΔΑ ΜΑΡΚΕΤΙΝΓΚ 2006</t>
  </si>
  <si>
    <t>ΚΟΣΤΟΣ ΠΩΛ/ΝΤΩΝ 2003</t>
  </si>
  <si>
    <t>ΚΟΣΤΟΣ ΠΩΛ/ΝΤΩΝ 2004</t>
  </si>
  <si>
    <t>ΚΟΣΤΟΣ ΠΩΛ/ΝΤΩΝ 2005</t>
  </si>
  <si>
    <t>ΚΟΣΤΟΣ ΠΩΛ/ΝΤΩΝ 2006</t>
  </si>
  <si>
    <t>ΑΣΚΗΣΗ - ΥΠΟΔΕΙΓΜΑ</t>
  </si>
  <si>
    <t>Η επιχείρηση ΧΕΝΙΑ Α.Ε. διατηρεί 2 μονάδες,μία στην Κοζάνη και μία στην Καστοριά.</t>
  </si>
  <si>
    <t>Τα έσοδα κάθε μονάδας προέρχονται απο 2 κέντρα κέρδους: τήν διαμονή στο ξεν/χείο και απο το μπάρ.</t>
  </si>
  <si>
    <t>Τον Νοέμβριο 2006 συντάξατε τον προυπολογισμό για κάθε κέντρο κέρδους.</t>
  </si>
  <si>
    <t>Σήμερα 10/1/2007 παραλάβατε τα απολογιστικά στοιχεία απο το Λογιστήριο της εταιρίας. Ζητείται :</t>
  </si>
  <si>
    <t>ΚΟΖΑΝΗ-HOTEL</t>
  </si>
  <si>
    <t>ΚΟΖΑΝΗ-BAR</t>
  </si>
  <si>
    <t>ΠΡΟΥΠ</t>
  </si>
  <si>
    <t>ΑΠΟΛ</t>
  </si>
  <si>
    <t>ΠΡΟΥΠΟΛΟΓΙΣΜΟΣ ΞΕΝΟΔΟΧΕΙΟΥ</t>
  </si>
  <si>
    <t>ΔΕΗ</t>
  </si>
  <si>
    <t>ΟΤΕ</t>
  </si>
  <si>
    <t>ΔΙΑΦ/ΣΗ</t>
  </si>
  <si>
    <t>ΣΥΝΤ/ΣΗ</t>
  </si>
  <si>
    <t>ΕΝΟΙΚΙΑ</t>
  </si>
  <si>
    <t>ΔΕΥΑΚ</t>
  </si>
  <si>
    <t>ΜΑΙ</t>
  </si>
  <si>
    <t>ΚΑΣΤΟΡΙΑ-HOTEL</t>
  </si>
  <si>
    <t>ΚΑΣΤΟΡΙΑ-BAR</t>
  </si>
  <si>
    <t>ΑΠΟΛΟΓΙΣΜΟΣ ΞΕΝΟΔΟΧΕΙΟΥ</t>
  </si>
  <si>
    <t>ΠΡΟΥΠΟΛΟΓΙΣΜΟΣ ΜΠΑΡ</t>
  </si>
  <si>
    <t>ΑΠΟΛΟΓΙΣΜΟΣ ΜΠΑΡ</t>
  </si>
  <si>
    <t>ΠΩΛΗΤΗΣ=JFK</t>
  </si>
  <si>
    <t>1-6/06</t>
  </si>
  <si>
    <t>ΠΕΡΙΟΧΗ=LAR</t>
  </si>
  <si>
    <t>ΙΟΥ</t>
  </si>
  <si>
    <t>ΠΡΟΙΟΝ 1</t>
  </si>
  <si>
    <t>ΠΡΟΙΟΝ 2</t>
  </si>
  <si>
    <t>ΠΡΟΙΟΝ 3</t>
  </si>
  <si>
    <t>ΠΡΟΙΟΝ 4</t>
  </si>
  <si>
    <t>ΠΡΟΙΟΝ 5</t>
  </si>
  <si>
    <t>ΠΡΟΙΟΝ 6</t>
  </si>
  <si>
    <t>ΠΡΟΙΟΝ 7</t>
  </si>
  <si>
    <t>ΠΡΟΙΟΝ 8</t>
  </si>
  <si>
    <t>ΠΡΟΙΟΝ 9</t>
  </si>
  <si>
    <t>ΠΡΟΙΟΝ 10</t>
  </si>
  <si>
    <t>ΠΩΛΗΤΗΣ=DCD</t>
  </si>
  <si>
    <t>ΠΕΡΙΟΧΗ=KOZ</t>
  </si>
  <si>
    <t>ΖΗΤΕΙΤΑΙ</t>
  </si>
  <si>
    <t>1. Το σύνολο των πωλήσεων της εταιρίας σε € για το Α' εξάμηνο.</t>
  </si>
  <si>
    <t>ΑΓΕΤ- BUDGET 2000</t>
  </si>
  <si>
    <t>Αύξηση πωλήσεων</t>
  </si>
  <si>
    <t>Αύξηση κόστους πωλ/ντων</t>
  </si>
  <si>
    <t>Σύνολο Ετους</t>
  </si>
  <si>
    <t>Τριμ1</t>
  </si>
  <si>
    <t>Τριμ2</t>
  </si>
  <si>
    <t>Τριμ3</t>
  </si>
  <si>
    <t>Τριμ4</t>
  </si>
  <si>
    <t>Πωλήσεις</t>
  </si>
  <si>
    <t>Κόστος Πωληθέντων</t>
  </si>
  <si>
    <t>Μικτό Κέρδος</t>
  </si>
  <si>
    <t>Έξοδα</t>
  </si>
  <si>
    <t>Καθαρά Κέρδη</t>
  </si>
  <si>
    <t>Διαφήμιση</t>
  </si>
  <si>
    <t>ΔΕΥΑΛ</t>
  </si>
  <si>
    <t>Μισθοί</t>
  </si>
  <si>
    <t>Σύνολο Εξόδων</t>
  </si>
  <si>
    <t xml:space="preserve">Η επιχείρηση ΑΓΕΤ Α.Ε. βρίσκεται  στο στάδιο κατάρτισης του ετήσιου προϋπολογισμού της.  Οι πωλήσεις και το κόστος πωληθέντων είναι γνωστά για τον πρώτο μήνα (ΙΑΝΟΥΑΡΙΟ), ενώ τους επόμενους μήνες θα αυξάνονται κατά 2% και 1% αντίστοιχα, για κάθε μήνα. Τα έξοδα θα είναι σταθερά κάθε μήνα. </t>
  </si>
  <si>
    <t>Ζητούνται να γραφτούν οι κατάλληλοι τύποι για να υπολογίσετε τα δεδομένα , χωρίς να εισάγετε κανέναν αριθμό αλλά μόνο φόρμουλες.</t>
  </si>
  <si>
    <t>Ξεκινούμε την επίλυση από μηνιαία βάση, μετά τριμηνιαία και  τέλος ετήσια.</t>
  </si>
  <si>
    <t xml:space="preserve">ΟΝΟΜΑ </t>
  </si>
  <si>
    <t>ΕΠΩΝΥΜΟ</t>
  </si>
  <si>
    <t>ΑΜ</t>
  </si>
  <si>
    <t>ΕΠΙΛΕΧΘΗΚΑΝ ΟΙ ΑΣΚΗΣΕΙΣ</t>
  </si>
  <si>
    <t xml:space="preserve">ΝΑ ΑΠΟΣΤΑΛΕΙ ΟΛΟ ΤΟ ΒΙΒΛΙΟ ΕΡΓΑΣΙΑΣ ΣΤΟ </t>
  </si>
  <si>
    <t>drogoulas@uth.gr</t>
  </si>
  <si>
    <t>Με βάση τα παρακάτω στοιχεία να συμπληρώσετε τα οικονομικα δεδομενα για την επιχείρηση ΑΒΒ Α.Ε. .</t>
  </si>
  <si>
    <t>1. Να συντάξετε ετήσια κατάσταση αποτελεσμάτων για κάθε κέντρο κέρδους, προυπολογιστικό και απολογιστικό.για κάθε πόλη και μετα συνολικό για το ΧΕΝΙΑ.</t>
  </si>
  <si>
    <t>1. ΝΑ ΓΙΝΕΙ ΠΡΟΥΠΟΛΟΓΙΣΜΟΣ ΠΩΛΗΣΕΩΝ 2018 ΣΕ ΕΥΡΩ (€)ΓΙΑ ΠΡΟΙΟΝΤΑ &amp; ΚΑΤΗΓΟΡΙΕΣ ΠΕΛΑΤΩΝ</t>
  </si>
  <si>
    <t>2. ΝΑ ΓΙΝΕΙ ΠΡΟΥΠΟΛΟΓΙΣΜΟΣ ΚΟΣΤΟΥΣ 2018 ΣΕ ΕΥΡΩ (€)ΓΙΑ ΠΡΟΙΟΝΤΑ &amp; ΚΑΤΗΓΟΡΙΕΣ ΠΕΛΑΤΩΝ</t>
  </si>
  <si>
    <t>3, ΝΑ ΓΙΝΕΙ ΠΡΟΥΠΟΛΟΓΙΣΜΟΣ ΚΕΡΔΩΝ 2018 ΣΕ ΕΥΡΩ (€)ΓΙΑ ΠΡΟΙΟΝΤΑ &amp; ΚΑΤΗΓΟΡΙΕΣ ΠΕΛΑΤΩΝ</t>
  </si>
  <si>
    <t>ΝΑ ΕΥΡΕΘΟΥΝ ΤΑ ΜΕΡΙΔΙΑ ΑΓΟΡΑΣ ΠΑΡΑΓΩΓΗΣ ΑΥΤΟΚΙΝΗΤΩΝ ΚΑΘΕ ΧΩΡΑΣ</t>
  </si>
  <si>
    <t>ΕΞΩΤΕΡΙΚΟ</t>
  </si>
  <si>
    <t>Σύνολο ΕΣΩΤΕΡΙΚΟΥ</t>
  </si>
  <si>
    <t>Σύνολο ΕΞΩΤΕΡΙΚΟΥ</t>
  </si>
  <si>
    <t>Δίδεται ο προυπολογισμός σε τεμάχια και Τιμές πώλησης της επιχείρησης ΜΟΡΦΕΑΣ Α.Ε. που κατασκευάζει παιδικά κρεβάτια.</t>
  </si>
  <si>
    <t>ΠΡΟΓΡΑΜΜΑ ΠΩΛΗΣΕΩΝ ΣΕ ΜΟΝΑΔΕΣ ΑΝΑ ΕΒΔΟΜΑΔΑ</t>
  </si>
  <si>
    <t xml:space="preserve">ΤΙΜΟΚΑΤΑΛΟΓΟΣ </t>
  </si>
  <si>
    <t>ΑΠΑΙΤΟΥΜΕΝΕΣ ΠΟΣΟΤΗΤΕΣ ΣΕ ΓΡΑΜΜΑΡΙΑ ΓΙΑ ΤΗΝ ΠΑΡΑΓΩΓΗ ΕΝΌΣ(1) ΚΙΛΟΥ ΕΤΟΙΜΟΥ ΠΡΟΙΟΝΤΟΣ</t>
  </si>
  <si>
    <t>ΝΑ ΥΠΟΛΟΓΙΣΕΤΕ ΤΟ ΚΟΣΤΟΣ ΠΑΡΑΓΩΓΗΣ ΕΝΌΣ ΚΙΛΟΥ ΓΙΑ ΤΟ ΚΆΘΕ ΠΡΟΙΟΝ.</t>
  </si>
  <si>
    <t>ΚΟΣΤΟΣ</t>
  </si>
  <si>
    <t>ΝΑ ΓΙΝΕΙ ΠΙΝΑΚΑΣ ΠΡΟΥΠΟΛΟΓΙΣΜΟΥ ΚΕΡΔΟΥΣ .</t>
  </si>
  <si>
    <t>ΤΜΗΜΑ (π.χ. ΠΕ-4-5)</t>
  </si>
  <si>
    <t>ΞΕΝΙΑ ΣΥΝΟΛΟ</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</si>
</sst>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 &quot;€&quot;"/>
    <numFmt numFmtId="165" formatCode="#,##0.00\ &quot;€&quot;"/>
    <numFmt numFmtId="167" formatCode="_-* #,##0_Δ_ρ_χ_-;\-* #,##0_Δ_ρ_χ_-;_-* &quot;-&quot;??_Δ_ρ_χ_-;_-@_-"/>
    <numFmt numFmtId="168" formatCode="0.0%"/>
  </numFmts>
  <fonts count="54" x14ac:knownFonts="1">
    <font>
      <sz val="11"/>
      <color theme="1"/>
      <name val="Calibri"/>
      <family val="2"/>
      <scheme val="minor"/>
    </font>
    <font>
      <b/>
      <sz val="11"/>
      <color rgb="FF222222"/>
      <name val="Calibri"/>
      <family val="2"/>
      <scheme val="minor"/>
    </font>
    <font>
      <sz val="11"/>
      <color rgb="FF222222"/>
      <name val="Calibri"/>
      <family val="2"/>
      <scheme val="minor"/>
    </font>
    <font>
      <sz val="11"/>
      <color rgb="FF0B0080"/>
      <name val="Calibri"/>
      <family val="2"/>
      <scheme val="minor"/>
    </font>
    <font>
      <sz val="11"/>
      <color theme="1"/>
      <name val="Arial"/>
      <family val="2"/>
      <charset val="161"/>
    </font>
    <font>
      <sz val="11"/>
      <color theme="1"/>
      <name val="Calibri"/>
      <family val="2"/>
      <charset val="161"/>
    </font>
    <font>
      <sz val="11"/>
      <color theme="1"/>
      <name val="Calibri"/>
      <family val="2"/>
    </font>
    <font>
      <sz val="11"/>
      <color rgb="FFFF0000"/>
      <name val="Calibri"/>
      <family val="2"/>
      <scheme val="minor"/>
    </font>
    <font>
      <b/>
      <sz val="11"/>
      <color rgb="FFFF0000"/>
      <name val="Arial"/>
      <family val="2"/>
      <charset val="161"/>
    </font>
    <font>
      <b/>
      <sz val="11"/>
      <color rgb="FFFF0000"/>
      <name val="Calibri"/>
      <family val="2"/>
      <charset val="161"/>
      <scheme val="minor"/>
    </font>
    <font>
      <b/>
      <u/>
      <sz val="10"/>
      <name val="Arial Greek"/>
      <family val="2"/>
      <charset val="161"/>
    </font>
    <font>
      <sz val="11"/>
      <name val="Arial Greek"/>
      <charset val="161"/>
    </font>
    <font>
      <sz val="11"/>
      <name val="Arial"/>
      <family val="2"/>
      <charset val="161"/>
    </font>
    <font>
      <b/>
      <i/>
      <u/>
      <sz val="10"/>
      <name val="Arial Greek"/>
      <family val="2"/>
      <charset val="161"/>
    </font>
    <font>
      <b/>
      <u/>
      <sz val="10"/>
      <name val="Arial Greek"/>
      <charset val="161"/>
    </font>
    <font>
      <b/>
      <u/>
      <sz val="10"/>
      <color indexed="10"/>
      <name val="Arial Greek"/>
      <charset val="161"/>
    </font>
    <font>
      <sz val="10"/>
      <color indexed="10"/>
      <name val="Arial Greek"/>
      <charset val="161"/>
    </font>
    <font>
      <b/>
      <sz val="10"/>
      <name val="Arial Greek"/>
      <charset val="161"/>
    </font>
    <font>
      <b/>
      <sz val="10"/>
      <color rgb="FFFF0000"/>
      <name val="Arial Greek"/>
      <charset val="161"/>
    </font>
    <font>
      <sz val="11"/>
      <color theme="1"/>
      <name val="Calibri"/>
      <family val="2"/>
      <scheme val="minor"/>
    </font>
    <font>
      <u/>
      <sz val="10"/>
      <name val="Arial Greek"/>
      <charset val="161"/>
    </font>
    <font>
      <sz val="10"/>
      <name val="Arial"/>
      <family val="2"/>
      <charset val="161"/>
    </font>
    <font>
      <sz val="8"/>
      <name val="Arial Greek"/>
      <family val="2"/>
      <charset val="161"/>
    </font>
    <font>
      <b/>
      <sz val="8"/>
      <name val="Arial Greek"/>
      <family val="2"/>
      <charset val="161"/>
    </font>
    <font>
      <b/>
      <sz val="8"/>
      <name val="Arial Greek"/>
      <charset val="161"/>
    </font>
    <font>
      <sz val="10"/>
      <name val="Arial Greek"/>
      <charset val="161"/>
    </font>
    <font>
      <b/>
      <sz val="10"/>
      <color indexed="57"/>
      <name val="Arial Greek"/>
      <charset val="161"/>
    </font>
    <font>
      <b/>
      <u/>
      <sz val="10"/>
      <color indexed="57"/>
      <name val="Arial Greek"/>
      <charset val="161"/>
    </font>
    <font>
      <b/>
      <sz val="10"/>
      <name val="Arial"/>
      <family val="2"/>
      <charset val="161"/>
    </font>
    <font>
      <b/>
      <sz val="10"/>
      <color indexed="14"/>
      <name val="Arial Greek"/>
      <charset val="161"/>
    </font>
    <font>
      <b/>
      <u/>
      <sz val="10"/>
      <color indexed="14"/>
      <name val="Arial Greek"/>
      <charset val="161"/>
    </font>
    <font>
      <b/>
      <sz val="10"/>
      <color indexed="12"/>
      <name val="Arial Greek"/>
      <charset val="161"/>
    </font>
    <font>
      <b/>
      <u/>
      <sz val="10"/>
      <color indexed="12"/>
      <name val="Arial Greek"/>
      <charset val="161"/>
    </font>
    <font>
      <b/>
      <sz val="10"/>
      <color indexed="10"/>
      <name val="Arial Greek"/>
      <charset val="161"/>
    </font>
    <font>
      <b/>
      <sz val="10"/>
      <color indexed="61"/>
      <name val="Arial Greek"/>
      <charset val="161"/>
    </font>
    <font>
      <b/>
      <u/>
      <sz val="10"/>
      <color indexed="61"/>
      <name val="Arial Greek"/>
      <charset val="161"/>
    </font>
    <font>
      <sz val="10"/>
      <color indexed="14"/>
      <name val="Arial Greek"/>
      <charset val="161"/>
    </font>
    <font>
      <b/>
      <u/>
      <sz val="12"/>
      <name val="Arial"/>
      <family val="2"/>
      <charset val="161"/>
    </font>
    <font>
      <b/>
      <u/>
      <sz val="10"/>
      <name val="Arial"/>
      <family val="2"/>
      <charset val="161"/>
    </font>
    <font>
      <sz val="12"/>
      <name val="Arial"/>
      <family val="2"/>
      <charset val="161"/>
    </font>
    <font>
      <b/>
      <u/>
      <sz val="11"/>
      <name val="Arial"/>
      <family val="2"/>
      <charset val="161"/>
    </font>
    <font>
      <b/>
      <sz val="12"/>
      <name val="Arial"/>
      <family val="2"/>
      <charset val="161"/>
    </font>
    <font>
      <b/>
      <sz val="12"/>
      <color rgb="FFFF0000"/>
      <name val="Arial"/>
      <family val="2"/>
      <charset val="161"/>
    </font>
    <font>
      <b/>
      <sz val="14"/>
      <color rgb="FFFF0000"/>
      <name val="Arial"/>
      <family val="2"/>
      <charset val="161"/>
    </font>
    <font>
      <b/>
      <sz val="11"/>
      <color theme="1"/>
      <name val="Calibri"/>
      <family val="2"/>
      <charset val="161"/>
      <scheme val="minor"/>
    </font>
    <font>
      <b/>
      <u/>
      <sz val="11"/>
      <color theme="1"/>
      <name val="Calibri"/>
      <family val="2"/>
      <charset val="161"/>
      <scheme val="minor"/>
    </font>
    <font>
      <b/>
      <u/>
      <sz val="11"/>
      <color rgb="FFFF0000"/>
      <name val="Calibri"/>
      <family val="2"/>
      <charset val="161"/>
      <scheme val="minor"/>
    </font>
    <font>
      <u/>
      <sz val="11"/>
      <color theme="10"/>
      <name val="Calibri"/>
      <family val="2"/>
      <scheme val="minor"/>
    </font>
    <font>
      <b/>
      <sz val="14"/>
      <color rgb="FFFF0000"/>
      <name val="Calibri"/>
      <family val="2"/>
      <charset val="161"/>
      <scheme val="minor"/>
    </font>
    <font>
      <b/>
      <u/>
      <sz val="11"/>
      <color rgb="FFFF0000"/>
      <name val="Arial Greek"/>
      <charset val="161"/>
    </font>
    <font>
      <b/>
      <sz val="11"/>
      <color rgb="FFFF0000"/>
      <name val="Arial Greek"/>
      <charset val="161"/>
    </font>
    <font>
      <b/>
      <sz val="16"/>
      <color rgb="FFFF0000"/>
      <name val="Calibri"/>
      <family val="2"/>
      <charset val="161"/>
      <scheme val="minor"/>
    </font>
    <font>
      <b/>
      <u/>
      <sz val="14"/>
      <color indexed="12"/>
      <name val="Arial Greek"/>
      <charset val="161"/>
    </font>
    <font>
      <b/>
      <sz val="12"/>
      <color rgb="FFFF0000"/>
      <name val="Arial Greek"/>
      <charset val="161"/>
    </font>
  </fonts>
  <fills count="12">
    <fill>
      <patternFill patternType="none"/>
    </fill>
    <fill>
      <patternFill patternType="gray125"/>
    </fill>
    <fill>
      <patternFill patternType="solid">
        <fgColor rgb="FFF8F9FA"/>
        <bgColor indexed="64"/>
      </patternFill>
    </fill>
    <fill>
      <patternFill patternType="solid">
        <fgColor rgb="FFEAECF0"/>
        <bgColor indexed="64"/>
      </patternFill>
    </fill>
    <fill>
      <patternFill patternType="solid">
        <fgColor rgb="FFFFFF00"/>
        <bgColor indexed="64"/>
      </patternFill>
    </fill>
    <fill>
      <patternFill patternType="solid">
        <fgColor indexed="13"/>
        <bgColor indexed="64"/>
      </patternFill>
    </fill>
    <fill>
      <patternFill patternType="solid">
        <fgColor indexed="42"/>
        <bgColor indexed="64"/>
      </patternFill>
    </fill>
    <fill>
      <patternFill patternType="solid">
        <fgColor indexed="29"/>
        <bgColor indexed="64"/>
      </patternFill>
    </fill>
    <fill>
      <patternFill patternType="solid">
        <fgColor rgb="FF92D050"/>
        <bgColor indexed="64"/>
      </patternFill>
    </fill>
    <fill>
      <patternFill patternType="solid">
        <fgColor indexed="9"/>
        <bgColor indexed="64"/>
      </patternFill>
    </fill>
    <fill>
      <patternFill patternType="solid">
        <fgColor rgb="FFFFC000"/>
        <bgColor indexed="64"/>
      </patternFill>
    </fill>
    <fill>
      <patternFill patternType="solid">
        <fgColor rgb="FF00B0F0"/>
        <bgColor indexed="64"/>
      </patternFill>
    </fill>
  </fills>
  <borders count="13">
    <border>
      <left/>
      <right/>
      <top/>
      <bottom/>
      <diagonal/>
    </border>
    <border>
      <left style="medium">
        <color rgb="FFA2A9B1"/>
      </left>
      <right style="medium">
        <color rgb="FFA2A9B1"/>
      </right>
      <top style="medium">
        <color rgb="FFA2A9B1"/>
      </top>
      <bottom style="medium">
        <color rgb="FFA2A9B1"/>
      </bottom>
      <diagonal/>
    </border>
    <border>
      <left style="medium">
        <color rgb="FFA2A9B1"/>
      </left>
      <right style="medium">
        <color rgb="FFA2A9B1"/>
      </right>
      <top style="medium">
        <color rgb="FFA2A9B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43" fontId="19" fillId="0" borderId="0" applyFont="0" applyFill="0" applyBorder="0" applyAlignment="0" applyProtection="0"/>
    <xf numFmtId="0" fontId="47" fillId="0" borderId="0" applyNumberFormat="0" applyFill="0" applyBorder="0" applyAlignment="0" applyProtection="0"/>
  </cellStyleXfs>
  <cellXfs count="147">
    <xf numFmtId="0" fontId="0" fillId="0" borderId="0" xfId="0"/>
    <xf numFmtId="0" fontId="1" fillId="3"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2" xfId="0" applyFont="1" applyFill="1" applyBorder="1" applyAlignment="1">
      <alignment vertical="center" wrapText="1"/>
    </xf>
    <xf numFmtId="0" fontId="4" fillId="0" borderId="0" xfId="0" applyFont="1"/>
    <xf numFmtId="0" fontId="4" fillId="4" borderId="0" xfId="0" applyFont="1" applyFill="1"/>
    <xf numFmtId="0" fontId="4" fillId="0" borderId="0" xfId="0" applyFont="1" applyAlignment="1">
      <alignment horizontal="center"/>
    </xf>
    <xf numFmtId="9" fontId="4" fillId="0" borderId="0" xfId="0" applyNumberFormat="1" applyFont="1" applyAlignment="1">
      <alignment horizontal="center"/>
    </xf>
    <xf numFmtId="164" fontId="4" fillId="0" borderId="0" xfId="0" applyNumberFormat="1" applyFont="1" applyAlignment="1">
      <alignment horizontal="center"/>
    </xf>
    <xf numFmtId="10" fontId="0" fillId="0" borderId="0" xfId="0" applyNumberFormat="1"/>
    <xf numFmtId="0" fontId="7" fillId="4" borderId="3" xfId="0" applyFont="1" applyFill="1" applyBorder="1"/>
    <xf numFmtId="0" fontId="4" fillId="0" borderId="3" xfId="0" applyFont="1" applyBorder="1"/>
    <xf numFmtId="0" fontId="4" fillId="0" borderId="3" xfId="0" applyFont="1" applyBorder="1" applyAlignment="1">
      <alignment horizontal="center"/>
    </xf>
    <xf numFmtId="0" fontId="8" fillId="0" borderId="3" xfId="0" applyFont="1" applyBorder="1"/>
    <xf numFmtId="165" fontId="4" fillId="0" borderId="0" xfId="0" applyNumberFormat="1" applyFont="1" applyAlignment="1">
      <alignment horizontal="center"/>
    </xf>
    <xf numFmtId="0" fontId="8" fillId="0" borderId="0" xfId="0" applyFont="1"/>
    <xf numFmtId="0" fontId="9" fillId="0" borderId="0" xfId="0" applyFont="1"/>
    <xf numFmtId="0" fontId="0" fillId="4" borderId="3" xfId="0" applyFill="1" applyBorder="1"/>
    <xf numFmtId="164" fontId="0" fillId="0" borderId="0" xfId="0" applyNumberFormat="1"/>
    <xf numFmtId="0" fontId="10" fillId="0" borderId="0" xfId="0" applyFont="1"/>
    <xf numFmtId="0" fontId="13" fillId="0" borderId="0" xfId="0" applyFont="1" applyAlignment="1">
      <alignment horizontal="center"/>
    </xf>
    <xf numFmtId="0" fontId="14" fillId="0" borderId="0" xfId="0" applyFont="1"/>
    <xf numFmtId="0" fontId="0" fillId="0" borderId="0" xfId="0" applyAlignment="1">
      <alignment horizontal="center"/>
    </xf>
    <xf numFmtId="0" fontId="0" fillId="6" borderId="3" xfId="0" applyFill="1" applyBorder="1" applyAlignment="1">
      <alignment horizontal="center"/>
    </xf>
    <xf numFmtId="3" fontId="0" fillId="5" borderId="3" xfId="0" applyNumberFormat="1" applyFill="1" applyBorder="1" applyAlignment="1">
      <alignment horizontal="center"/>
    </xf>
    <xf numFmtId="3" fontId="0" fillId="5" borderId="4" xfId="0" applyNumberFormat="1" applyFill="1" applyBorder="1" applyAlignment="1">
      <alignment horizontal="center"/>
    </xf>
    <xf numFmtId="3" fontId="0" fillId="6" borderId="3" xfId="0" applyNumberFormat="1" applyFill="1" applyBorder="1" applyAlignment="1">
      <alignment horizontal="center"/>
    </xf>
    <xf numFmtId="3" fontId="0" fillId="7" borderId="3" xfId="0" applyNumberFormat="1" applyFill="1" applyBorder="1"/>
    <xf numFmtId="0" fontId="15" fillId="0" borderId="0" xfId="0" applyFont="1"/>
    <xf numFmtId="164" fontId="0" fillId="0" borderId="0" xfId="0" applyNumberFormat="1" applyAlignment="1">
      <alignment horizontal="center"/>
    </xf>
    <xf numFmtId="0" fontId="17" fillId="0" borderId="0" xfId="0" applyFont="1"/>
    <xf numFmtId="3" fontId="0" fillId="5" borderId="3" xfId="0" applyNumberFormat="1" applyFill="1" applyBorder="1"/>
    <xf numFmtId="0" fontId="0" fillId="5" borderId="3" xfId="0" applyFill="1" applyBorder="1" applyAlignment="1">
      <alignment horizontal="center"/>
    </xf>
    <xf numFmtId="3" fontId="16" fillId="5" borderId="3" xfId="0" applyNumberFormat="1" applyFont="1" applyFill="1" applyBorder="1"/>
    <xf numFmtId="0" fontId="18" fillId="0" borderId="0" xfId="0" applyFont="1"/>
    <xf numFmtId="3" fontId="0" fillId="0" borderId="0" xfId="0" applyNumberFormat="1" applyAlignment="1">
      <alignment horizontal="center"/>
    </xf>
    <xf numFmtId="0" fontId="14" fillId="0" borderId="0" xfId="0" applyFont="1" applyAlignment="1">
      <alignment horizontal="center"/>
    </xf>
    <xf numFmtId="0" fontId="20" fillId="0" borderId="0" xfId="0" applyFont="1"/>
    <xf numFmtId="0" fontId="0" fillId="5" borderId="0" xfId="0" applyFill="1" applyAlignment="1">
      <alignment horizontal="center"/>
    </xf>
    <xf numFmtId="0" fontId="0" fillId="0" borderId="0" xfId="0" applyFill="1" applyAlignment="1">
      <alignment horizontal="center"/>
    </xf>
    <xf numFmtId="3" fontId="0" fillId="8" borderId="3" xfId="0" applyNumberFormat="1" applyFill="1" applyBorder="1"/>
    <xf numFmtId="9" fontId="0" fillId="0" borderId="0" xfId="0" applyNumberFormat="1" applyFill="1" applyAlignment="1">
      <alignment horizontal="center"/>
    </xf>
    <xf numFmtId="0" fontId="22" fillId="0" borderId="0" xfId="0" applyFont="1"/>
    <xf numFmtId="0" fontId="22" fillId="0" borderId="0" xfId="0" applyFont="1" applyAlignment="1">
      <alignment horizontal="left"/>
    </xf>
    <xf numFmtId="0" fontId="23" fillId="0" borderId="0" xfId="0" applyFont="1" applyAlignment="1">
      <alignment horizontal="center"/>
    </xf>
    <xf numFmtId="0" fontId="24" fillId="0" borderId="0" xfId="0" applyFont="1" applyAlignment="1">
      <alignment horizontal="left"/>
    </xf>
    <xf numFmtId="167" fontId="22" fillId="8" borderId="3" xfId="0" applyNumberFormat="1" applyFont="1" applyFill="1" applyBorder="1" applyAlignment="1">
      <alignment horizontal="center" vertical="top"/>
    </xf>
    <xf numFmtId="167" fontId="22" fillId="0" borderId="0" xfId="1" applyNumberFormat="1" applyFont="1" applyAlignment="1">
      <alignment horizontal="center"/>
    </xf>
    <xf numFmtId="0" fontId="24" fillId="0" borderId="0" xfId="0" quotePrefix="1" applyFont="1" applyAlignment="1">
      <alignment horizontal="left"/>
    </xf>
    <xf numFmtId="0" fontId="23" fillId="0" borderId="0" xfId="0" quotePrefix="1" applyFont="1" applyAlignment="1">
      <alignment horizontal="center"/>
    </xf>
    <xf numFmtId="0" fontId="25" fillId="0" borderId="0" xfId="0" applyFont="1"/>
    <xf numFmtId="0" fontId="0" fillId="0" borderId="0" xfId="0" applyFont="1"/>
    <xf numFmtId="0" fontId="26" fillId="0" borderId="0" xfId="0" applyFont="1"/>
    <xf numFmtId="0" fontId="27" fillId="0" borderId="0" xfId="0" quotePrefix="1" applyFont="1" applyAlignment="1">
      <alignment horizontal="left"/>
    </xf>
    <xf numFmtId="0" fontId="28" fillId="0" borderId="0" xfId="0" applyFont="1" applyAlignment="1">
      <alignment horizontal="left"/>
    </xf>
    <xf numFmtId="3" fontId="25" fillId="8" borderId="3" xfId="0" applyNumberFormat="1" applyFont="1" applyFill="1" applyBorder="1"/>
    <xf numFmtId="0" fontId="25" fillId="0" borderId="0" xfId="0" applyFont="1" applyAlignment="1">
      <alignment horizontal="center"/>
    </xf>
    <xf numFmtId="0" fontId="21" fillId="0" borderId="0" xfId="0" applyFont="1" applyAlignment="1">
      <alignment horizontal="left"/>
    </xf>
    <xf numFmtId="0" fontId="29" fillId="0" borderId="0" xfId="0" applyFont="1" applyAlignment="1">
      <alignment horizontal="center"/>
    </xf>
    <xf numFmtId="0" fontId="30" fillId="0" borderId="0" xfId="0" quotePrefix="1" applyFont="1" applyAlignment="1">
      <alignment horizontal="left"/>
    </xf>
    <xf numFmtId="0" fontId="31" fillId="0" borderId="0" xfId="0" applyFont="1" applyAlignment="1">
      <alignment horizontal="center"/>
    </xf>
    <xf numFmtId="0" fontId="32" fillId="0" borderId="0" xfId="0" quotePrefix="1" applyFont="1" applyAlignment="1">
      <alignment horizontal="left"/>
    </xf>
    <xf numFmtId="0" fontId="33" fillId="0" borderId="0" xfId="0" applyFont="1" applyAlignment="1">
      <alignment horizontal="center"/>
    </xf>
    <xf numFmtId="0" fontId="15" fillId="0" borderId="0" xfId="0" quotePrefix="1" applyFont="1" applyAlignment="1">
      <alignment horizontal="left"/>
    </xf>
    <xf numFmtId="0" fontId="26" fillId="0" borderId="0" xfId="0" applyFont="1" applyAlignment="1">
      <alignment horizontal="center"/>
    </xf>
    <xf numFmtId="0" fontId="34" fillId="0" borderId="0" xfId="0" applyFont="1" applyAlignment="1">
      <alignment horizontal="center"/>
    </xf>
    <xf numFmtId="0" fontId="35" fillId="0" borderId="0" xfId="0" quotePrefix="1" applyFont="1" applyAlignment="1">
      <alignment horizontal="left"/>
    </xf>
    <xf numFmtId="0" fontId="30" fillId="0" borderId="0" xfId="0" applyFont="1" applyAlignment="1">
      <alignment horizontal="left"/>
    </xf>
    <xf numFmtId="49" fontId="14" fillId="0" borderId="0" xfId="0" applyNumberFormat="1" applyFont="1" applyAlignment="1">
      <alignment horizontal="left"/>
    </xf>
    <xf numFmtId="0" fontId="32" fillId="0" borderId="0" xfId="0" applyFont="1" applyAlignment="1">
      <alignment horizontal="left"/>
    </xf>
    <xf numFmtId="0" fontId="25" fillId="8" borderId="3" xfId="0" applyFont="1" applyFill="1" applyBorder="1" applyAlignment="1">
      <alignment horizontal="center"/>
    </xf>
    <xf numFmtId="164" fontId="25" fillId="8" borderId="3" xfId="0" applyNumberFormat="1" applyFont="1" applyFill="1" applyBorder="1"/>
    <xf numFmtId="0" fontId="36" fillId="0" borderId="0" xfId="0" applyFont="1"/>
    <xf numFmtId="0" fontId="25" fillId="8" borderId="3" xfId="0" applyFont="1" applyFill="1" applyBorder="1" applyAlignment="1">
      <alignment horizontal="center" shrinkToFit="1"/>
    </xf>
    <xf numFmtId="0" fontId="32" fillId="0" borderId="0" xfId="0" applyFont="1"/>
    <xf numFmtId="164" fontId="25" fillId="0" borderId="0" xfId="0" applyNumberFormat="1" applyFont="1"/>
    <xf numFmtId="0" fontId="21" fillId="9" borderId="8" xfId="0" applyFont="1" applyFill="1" applyBorder="1" applyAlignment="1">
      <alignment vertical="justify" wrapText="1"/>
    </xf>
    <xf numFmtId="0" fontId="21" fillId="0" borderId="0" xfId="0" applyFont="1" applyAlignment="1">
      <alignment vertical="justify"/>
    </xf>
    <xf numFmtId="0" fontId="39" fillId="9" borderId="8" xfId="0" applyFont="1" applyFill="1" applyBorder="1" applyAlignment="1">
      <alignment vertical="justify" wrapText="1"/>
    </xf>
    <xf numFmtId="9" fontId="39" fillId="9" borderId="8" xfId="0" applyNumberFormat="1" applyFont="1" applyFill="1" applyBorder="1" applyAlignment="1">
      <alignment vertical="justify" wrapText="1"/>
    </xf>
    <xf numFmtId="0" fontId="39" fillId="9" borderId="8" xfId="0" applyFont="1" applyFill="1" applyBorder="1" applyAlignment="1">
      <alignment horizontal="center" vertical="justify" wrapText="1"/>
    </xf>
    <xf numFmtId="0" fontId="21" fillId="9" borderId="8" xfId="0" applyFont="1" applyFill="1" applyBorder="1" applyAlignment="1">
      <alignment horizontal="center" vertical="justify" wrapText="1"/>
    </xf>
    <xf numFmtId="0" fontId="21" fillId="0" borderId="0" xfId="0" applyFont="1" applyAlignment="1">
      <alignment horizontal="center" vertical="justify"/>
    </xf>
    <xf numFmtId="3" fontId="39" fillId="9" borderId="8" xfId="0" applyNumberFormat="1" applyFont="1" applyFill="1" applyBorder="1" applyAlignment="1">
      <alignment vertical="justify" wrapText="1"/>
    </xf>
    <xf numFmtId="3" fontId="21" fillId="9" borderId="8" xfId="0" applyNumberFormat="1" applyFont="1" applyFill="1" applyBorder="1" applyAlignment="1">
      <alignment vertical="justify" wrapText="1"/>
    </xf>
    <xf numFmtId="0" fontId="37" fillId="9" borderId="8" xfId="0" applyFont="1" applyFill="1" applyBorder="1" applyAlignment="1">
      <alignment vertical="justify" wrapText="1"/>
    </xf>
    <xf numFmtId="0" fontId="45" fillId="4" borderId="0" xfId="0" applyFont="1" applyFill="1" applyAlignment="1">
      <alignment horizontal="center"/>
    </xf>
    <xf numFmtId="0" fontId="0" fillId="10" borderId="11" xfId="0" applyFill="1" applyBorder="1"/>
    <xf numFmtId="0" fontId="46" fillId="4" borderId="0" xfId="0" applyFont="1" applyFill="1" applyAlignment="1">
      <alignment horizontal="center"/>
    </xf>
    <xf numFmtId="0" fontId="44" fillId="0" borderId="0" xfId="0" applyFont="1"/>
    <xf numFmtId="0" fontId="47" fillId="0" borderId="0" xfId="2"/>
    <xf numFmtId="0" fontId="24" fillId="4" borderId="0" xfId="0" applyFont="1" applyFill="1" applyAlignment="1">
      <alignment horizontal="left"/>
    </xf>
    <xf numFmtId="0" fontId="0" fillId="0" borderId="0" xfId="0" applyFont="1" applyFill="1" applyAlignment="1">
      <alignment horizontal="center"/>
    </xf>
    <xf numFmtId="168" fontId="25" fillId="0" borderId="12" xfId="0" applyNumberFormat="1" applyFont="1" applyFill="1" applyBorder="1"/>
    <xf numFmtId="0" fontId="25" fillId="0" borderId="0" xfId="0" applyFont="1" applyFill="1" applyBorder="1"/>
    <xf numFmtId="0" fontId="14" fillId="0" borderId="0" xfId="0" applyFont="1" applyAlignment="1">
      <alignment horizontal="center"/>
    </xf>
    <xf numFmtId="0" fontId="11" fillId="0" borderId="0" xfId="0" applyFont="1" applyAlignment="1">
      <alignment horizontal="left" vertical="center"/>
    </xf>
    <xf numFmtId="0" fontId="11" fillId="0" borderId="0" xfId="0" quotePrefix="1" applyFont="1" applyAlignment="1">
      <alignment horizontal="left" vertical="center"/>
    </xf>
    <xf numFmtId="0" fontId="11" fillId="0" borderId="0" xfId="0" quotePrefix="1" applyFont="1" applyAlignment="1">
      <alignment horizontal="left" vertical="center" wrapText="1"/>
    </xf>
    <xf numFmtId="0" fontId="11" fillId="0" borderId="0" xfId="0" applyFont="1" applyAlignment="1">
      <alignment horizontal="left" vertical="center" wrapText="1"/>
    </xf>
    <xf numFmtId="0" fontId="0" fillId="10" borderId="0" xfId="0" applyFont="1" applyFill="1" applyAlignment="1">
      <alignment horizontal="center"/>
    </xf>
    <xf numFmtId="0" fontId="25" fillId="10" borderId="0" xfId="0" applyFont="1" applyFill="1" applyAlignment="1">
      <alignment horizontal="center"/>
    </xf>
    <xf numFmtId="0" fontId="0" fillId="0" borderId="0" xfId="0" applyFont="1" applyAlignment="1">
      <alignment horizontal="center"/>
    </xf>
    <xf numFmtId="0" fontId="0" fillId="4" borderId="0" xfId="0" applyFont="1" applyFill="1" applyAlignment="1">
      <alignment horizontal="center"/>
    </xf>
    <xf numFmtId="0" fontId="15" fillId="0" borderId="0" xfId="0" applyFont="1" applyAlignment="1">
      <alignment horizontal="center"/>
    </xf>
    <xf numFmtId="0" fontId="43" fillId="0" borderId="0" xfId="0" applyFont="1" applyAlignment="1">
      <alignment horizontal="left" vertical="justify"/>
    </xf>
    <xf numFmtId="0" fontId="37" fillId="9" borderId="5" xfId="0" applyFont="1" applyFill="1" applyBorder="1" applyAlignment="1">
      <alignment horizontal="center" vertical="justify"/>
    </xf>
    <xf numFmtId="0" fontId="38" fillId="0" borderId="6" xfId="0" applyFont="1" applyBorder="1" applyAlignment="1">
      <alignment horizontal="center" vertical="justify"/>
    </xf>
    <xf numFmtId="0" fontId="38" fillId="0" borderId="7" xfId="0" applyFont="1" applyBorder="1" applyAlignment="1">
      <alignment horizontal="center" vertical="justify"/>
    </xf>
    <xf numFmtId="0" fontId="39" fillId="9" borderId="9" xfId="0" applyFont="1" applyFill="1" applyBorder="1" applyAlignment="1">
      <alignment horizontal="center" vertical="justify" wrapText="1"/>
    </xf>
    <xf numFmtId="0" fontId="21" fillId="0" borderId="10" xfId="0" applyFont="1" applyBorder="1" applyAlignment="1">
      <alignment vertical="justify" wrapText="1"/>
    </xf>
    <xf numFmtId="0" fontId="40" fillId="0" borderId="0" xfId="0" applyFont="1" applyAlignment="1">
      <alignment horizontal="justify" vertical="justify" wrapText="1"/>
    </xf>
    <xf numFmtId="0" fontId="12" fillId="0" borderId="0" xfId="0" applyFont="1" applyAlignment="1">
      <alignment horizontal="justify" vertical="justify" wrapText="1"/>
    </xf>
    <xf numFmtId="0" fontId="41" fillId="0" borderId="0" xfId="0" applyFont="1" applyBorder="1" applyAlignment="1">
      <alignment vertical="justify" wrapText="1"/>
    </xf>
    <xf numFmtId="0" fontId="28" fillId="0" borderId="0" xfId="0" applyFont="1" applyAlignment="1">
      <alignment vertical="justify" wrapText="1"/>
    </xf>
    <xf numFmtId="0" fontId="42" fillId="0" borderId="0" xfId="0" applyFont="1" applyAlignment="1">
      <alignment horizontal="left" vertical="center" wrapText="1"/>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4" fillId="8" borderId="11" xfId="0" applyFont="1" applyFill="1" applyBorder="1"/>
    <xf numFmtId="0" fontId="8" fillId="0" borderId="11" xfId="0" applyFont="1" applyBorder="1" applyAlignment="1">
      <alignment horizontal="center"/>
    </xf>
    <xf numFmtId="0" fontId="0" fillId="8" borderId="11" xfId="0" applyFill="1" applyBorder="1"/>
    <xf numFmtId="0" fontId="0" fillId="8" borderId="11" xfId="0" applyFill="1" applyBorder="1" applyAlignment="1">
      <alignment horizontal="center"/>
    </xf>
    <xf numFmtId="0" fontId="9" fillId="0" borderId="0" xfId="0" applyFont="1" applyAlignment="1">
      <alignment horizontal="center"/>
    </xf>
    <xf numFmtId="0" fontId="0" fillId="8" borderId="3" xfId="0" applyFill="1" applyBorder="1"/>
    <xf numFmtId="0" fontId="0" fillId="8" borderId="0" xfId="0" applyFill="1"/>
    <xf numFmtId="0" fontId="9" fillId="8" borderId="0" xfId="0" applyFont="1" applyFill="1"/>
    <xf numFmtId="0" fontId="48" fillId="8" borderId="0" xfId="0" applyFont="1" applyFill="1"/>
    <xf numFmtId="0" fontId="49" fillId="0" borderId="0" xfId="0" applyFont="1" applyAlignment="1">
      <alignment vertical="center"/>
    </xf>
    <xf numFmtId="0" fontId="50" fillId="0" borderId="0" xfId="0" applyFont="1" applyAlignment="1">
      <alignment vertical="center"/>
    </xf>
    <xf numFmtId="0" fontId="21" fillId="8" borderId="8" xfId="0" applyFont="1" applyFill="1" applyBorder="1" applyAlignment="1">
      <alignment vertical="justify" wrapText="1"/>
    </xf>
    <xf numFmtId="0" fontId="14" fillId="8" borderId="11" xfId="0" applyFont="1" applyFill="1" applyBorder="1" applyAlignment="1">
      <alignment horizontal="center"/>
    </xf>
    <xf numFmtId="0" fontId="14" fillId="10" borderId="11" xfId="0" applyFont="1" applyFill="1" applyBorder="1" applyAlignment="1">
      <alignment horizontal="center"/>
    </xf>
    <xf numFmtId="0" fontId="14" fillId="4" borderId="11" xfId="0" applyFont="1" applyFill="1" applyBorder="1" applyAlignment="1">
      <alignment horizontal="center"/>
    </xf>
    <xf numFmtId="0" fontId="51" fillId="0" borderId="0" xfId="0" applyFont="1"/>
    <xf numFmtId="0" fontId="52" fillId="0" borderId="0" xfId="0" applyFont="1"/>
    <xf numFmtId="0" fontId="25" fillId="8" borderId="11" xfId="0" applyFont="1" applyFill="1" applyBorder="1" applyAlignment="1">
      <alignment horizontal="center"/>
    </xf>
    <xf numFmtId="1" fontId="25" fillId="8" borderId="11" xfId="0" applyNumberFormat="1" applyFont="1" applyFill="1" applyBorder="1" applyAlignment="1">
      <alignment horizontal="center"/>
    </xf>
    <xf numFmtId="0" fontId="14" fillId="11" borderId="11" xfId="0" applyFont="1" applyFill="1" applyBorder="1" applyAlignment="1">
      <alignment horizontal="center"/>
    </xf>
    <xf numFmtId="164" fontId="25" fillId="11" borderId="3" xfId="0" applyNumberFormat="1" applyFont="1" applyFill="1" applyBorder="1"/>
    <xf numFmtId="0" fontId="53" fillId="0" borderId="0" xfId="0" applyFont="1"/>
    <xf numFmtId="0" fontId="33" fillId="0" borderId="0" xfId="0" applyFont="1"/>
    <xf numFmtId="0" fontId="39" fillId="10" borderId="8" xfId="0" applyFont="1" applyFill="1" applyBorder="1" applyAlignment="1">
      <alignment vertical="justify" wrapText="1"/>
    </xf>
    <xf numFmtId="0" fontId="42" fillId="9" borderId="8" xfId="0" applyFont="1" applyFill="1" applyBorder="1" applyAlignment="1">
      <alignment vertical="justify" wrapText="1"/>
    </xf>
    <xf numFmtId="0" fontId="21" fillId="0" borderId="8" xfId="0" applyFont="1" applyFill="1" applyBorder="1" applyAlignment="1">
      <alignment vertical="justify" wrapText="1"/>
    </xf>
  </cellXfs>
  <cellStyles count="3">
    <cellStyle name="Κανονικό" xfId="0" builtinId="0"/>
    <cellStyle name="Κόμμα" xfId="1" builtinId="3"/>
    <cellStyle name="Υπερ-σύνδεση" xfId="2"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219075</xdr:colOff>
      <xdr:row>3</xdr:row>
      <xdr:rowOff>142875</xdr:rowOff>
    </xdr:to>
    <xdr:pic>
      <xdr:nvPicPr>
        <xdr:cNvPr id="2" name="Εικόνα 1"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05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xdr:row>
      <xdr:rowOff>0</xdr:rowOff>
    </xdr:from>
    <xdr:to>
      <xdr:col>2</xdr:col>
      <xdr:colOff>219075</xdr:colOff>
      <xdr:row>4</xdr:row>
      <xdr:rowOff>133350</xdr:rowOff>
    </xdr:to>
    <xdr:pic>
      <xdr:nvPicPr>
        <xdr:cNvPr id="3" name="Εικόνα 2" descr="https://upload.wikimedia.org/wikipedia/en/thumb/b/ba/Flag_of_Germany.svg/23px-Flag_of_Germany.sv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981075"/>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xdr:row>
      <xdr:rowOff>0</xdr:rowOff>
    </xdr:from>
    <xdr:to>
      <xdr:col>2</xdr:col>
      <xdr:colOff>219075</xdr:colOff>
      <xdr:row>5</xdr:row>
      <xdr:rowOff>142875</xdr:rowOff>
    </xdr:to>
    <xdr:pic>
      <xdr:nvPicPr>
        <xdr:cNvPr id="4" name="Εικόνα 3" descr="https://upload.wikimedia.org/wikipedia/commons/thumb/0/09/Flag_of_South_Korea.svg/23px-Flag_of_South_Korea.svg.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0" y="15621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xdr:row>
      <xdr:rowOff>0</xdr:rowOff>
    </xdr:from>
    <xdr:to>
      <xdr:col>2</xdr:col>
      <xdr:colOff>219075</xdr:colOff>
      <xdr:row>6</xdr:row>
      <xdr:rowOff>114300</xdr:rowOff>
    </xdr:to>
    <xdr:pic>
      <xdr:nvPicPr>
        <xdr:cNvPr id="5" name="Εικόνα 4" descr="https://upload.wikimedia.org/wikipedia/en/thumb/a/a4/Flag_of_the_United_States.svg/23px-Flag_of_the_United_States.svg.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1952625"/>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219075</xdr:colOff>
      <xdr:row>7</xdr:row>
      <xdr:rowOff>114300</xdr:rowOff>
    </xdr:to>
    <xdr:pic>
      <xdr:nvPicPr>
        <xdr:cNvPr id="6" name="Εικόνα 5" descr="https://upload.wikimedia.org/wikipedia/en/thumb/a/a4/Flag_of_the_United_States.svg/23px-Flag_of_the_United_States.svg.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28003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219075</xdr:colOff>
      <xdr:row>8</xdr:row>
      <xdr:rowOff>142875</xdr:rowOff>
    </xdr:to>
    <xdr:pic>
      <xdr:nvPicPr>
        <xdr:cNvPr id="7" name="Εικόνα 6"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908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xdr:row>
      <xdr:rowOff>0</xdr:rowOff>
    </xdr:from>
    <xdr:to>
      <xdr:col>2</xdr:col>
      <xdr:colOff>219075</xdr:colOff>
      <xdr:row>9</xdr:row>
      <xdr:rowOff>142875</xdr:rowOff>
    </xdr:to>
    <xdr:pic>
      <xdr:nvPicPr>
        <xdr:cNvPr id="8" name="Εικόνα 7"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3909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219075</xdr:colOff>
      <xdr:row>10</xdr:row>
      <xdr:rowOff>142875</xdr:rowOff>
    </xdr:to>
    <xdr:pic>
      <xdr:nvPicPr>
        <xdr:cNvPr id="9" name="Εικόνα 8" descr="https://upload.wikimedia.org/wikipedia/en/thumb/0/03/Flag_of_Italy.svg/23px-Flag_of_Italy.svg.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19200" y="35909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10</xdr:row>
      <xdr:rowOff>0</xdr:rowOff>
    </xdr:from>
    <xdr:to>
      <xdr:col>2</xdr:col>
      <xdr:colOff>447675</xdr:colOff>
      <xdr:row>10</xdr:row>
      <xdr:rowOff>114300</xdr:rowOff>
    </xdr:to>
    <xdr:pic>
      <xdr:nvPicPr>
        <xdr:cNvPr id="10" name="Εικόνα 9" descr="https://upload.wikimedia.org/wikipedia/en/thumb/a/a4/Flag_of_the_United_States.svg/23px-Flag_of_the_United_States.svg.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47800" y="3590925"/>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xdr:row>
      <xdr:rowOff>0</xdr:rowOff>
    </xdr:from>
    <xdr:to>
      <xdr:col>2</xdr:col>
      <xdr:colOff>219075</xdr:colOff>
      <xdr:row>11</xdr:row>
      <xdr:rowOff>142875</xdr:rowOff>
    </xdr:to>
    <xdr:pic>
      <xdr:nvPicPr>
        <xdr:cNvPr id="11" name="Εικόνα 10" descr="https://upload.wikimedia.org/wikipedia/en/thumb/c/c3/Flag_of_France.svg/23px-Flag_of_France.svg.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9200" y="41719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219075</xdr:colOff>
      <xdr:row>12</xdr:row>
      <xdr:rowOff>142875</xdr:rowOff>
    </xdr:to>
    <xdr:pic>
      <xdr:nvPicPr>
        <xdr:cNvPr id="12" name="Εικόνα 11" descr="https://upload.wikimedia.org/wikipedia/en/thumb/c/c3/Flag_of_France.svg/23px-Flag_of_France.svg.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9200" y="43719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219075</xdr:colOff>
      <xdr:row>13</xdr:row>
      <xdr:rowOff>142875</xdr:rowOff>
    </xdr:to>
    <xdr:pic>
      <xdr:nvPicPr>
        <xdr:cNvPr id="13" name="Εικόνα 12"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47625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219075</xdr:colOff>
      <xdr:row>14</xdr:row>
      <xdr:rowOff>142875</xdr:rowOff>
    </xdr:to>
    <xdr:pic>
      <xdr:nvPicPr>
        <xdr:cNvPr id="14" name="Εικόνα 13"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49625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219075</xdr:colOff>
      <xdr:row>15</xdr:row>
      <xdr:rowOff>133350</xdr:rowOff>
    </xdr:to>
    <xdr:pic>
      <xdr:nvPicPr>
        <xdr:cNvPr id="15" name="Εικόνα 14" descr="https://upload.wikimedia.org/wikipedia/en/thumb/b/ba/Flag_of_Germany.svg/23px-Flag_of_Germany.sv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51625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219075</xdr:colOff>
      <xdr:row>16</xdr:row>
      <xdr:rowOff>133350</xdr:rowOff>
    </xdr:to>
    <xdr:pic>
      <xdr:nvPicPr>
        <xdr:cNvPr id="16" name="Εικόνα 15" descr="https://upload.wikimedia.org/wikipedia/en/thumb/b/ba/Flag_of_Germany.svg/23px-Flag_of_Germany.sv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5553075"/>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xdr:row>
      <xdr:rowOff>0</xdr:rowOff>
    </xdr:from>
    <xdr:to>
      <xdr:col>2</xdr:col>
      <xdr:colOff>219075</xdr:colOff>
      <xdr:row>17</xdr:row>
      <xdr:rowOff>142875</xdr:rowOff>
    </xdr:to>
    <xdr:pic>
      <xdr:nvPicPr>
        <xdr:cNvPr id="17" name="Εικόνα 16"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59436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219075</xdr:colOff>
      <xdr:row>18</xdr:row>
      <xdr:rowOff>142875</xdr:rowOff>
    </xdr:to>
    <xdr:pic>
      <xdr:nvPicPr>
        <xdr:cNvPr id="18" name="Εικόνα 17"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436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xdr:row>
      <xdr:rowOff>0</xdr:rowOff>
    </xdr:from>
    <xdr:to>
      <xdr:col>2</xdr:col>
      <xdr:colOff>219075</xdr:colOff>
      <xdr:row>19</xdr:row>
      <xdr:rowOff>142875</xdr:rowOff>
    </xdr:to>
    <xdr:pic>
      <xdr:nvPicPr>
        <xdr:cNvPr id="19" name="Εικόνα 18"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634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219075</xdr:colOff>
      <xdr:row>20</xdr:row>
      <xdr:rowOff>142875</xdr:rowOff>
    </xdr:to>
    <xdr:pic>
      <xdr:nvPicPr>
        <xdr:cNvPr id="20" name="Εικόνα 19"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65436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219075</xdr:colOff>
      <xdr:row>21</xdr:row>
      <xdr:rowOff>142875</xdr:rowOff>
    </xdr:to>
    <xdr:pic>
      <xdr:nvPicPr>
        <xdr:cNvPr id="21" name="Εικόνα 20"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69342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219075</xdr:colOff>
      <xdr:row>22</xdr:row>
      <xdr:rowOff>142875</xdr:rowOff>
    </xdr:to>
    <xdr:pic>
      <xdr:nvPicPr>
        <xdr:cNvPr id="22" name="Εικόνα 21"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71342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25</xdr:row>
      <xdr:rowOff>0</xdr:rowOff>
    </xdr:from>
    <xdr:ext cx="219075" cy="114300"/>
    <xdr:pic>
      <xdr:nvPicPr>
        <xdr:cNvPr id="23" name="Εικόνα 22" descr="https://upload.wikimedia.org/wikipedia/en/thumb/a/a4/Flag_of_the_United_States.svg/23px-Flag_of_the_United_States.svg.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52700" y="1190625"/>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xdr:row>
      <xdr:rowOff>0</xdr:rowOff>
    </xdr:from>
    <xdr:ext cx="219075" cy="142875"/>
    <xdr:pic>
      <xdr:nvPicPr>
        <xdr:cNvPr id="24" name="Εικόνα 23"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552700" y="43910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27</xdr:row>
      <xdr:rowOff>0</xdr:rowOff>
    </xdr:from>
    <xdr:ext cx="219075" cy="133350"/>
    <xdr:pic>
      <xdr:nvPicPr>
        <xdr:cNvPr id="25" name="Εικόνα 24" descr="https://upload.wikimedia.org/wikipedia/en/thumb/b/ba/Flag_of_Germany.svg/23px-Flag_of_Germany.sv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2700" y="3190875"/>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28</xdr:row>
      <xdr:rowOff>0</xdr:rowOff>
    </xdr:from>
    <xdr:ext cx="219075" cy="142875"/>
    <xdr:pic>
      <xdr:nvPicPr>
        <xdr:cNvPr id="26" name="Εικόνα 25"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590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29</xdr:row>
      <xdr:rowOff>0</xdr:rowOff>
    </xdr:from>
    <xdr:ext cx="219075" cy="142875"/>
    <xdr:pic>
      <xdr:nvPicPr>
        <xdr:cNvPr id="27" name="Εικόνα 26" descr="https://upload.wikimedia.org/wikipedia/en/thumb/c/c3/Flag_of_France.svg/23px-Flag_of_France.svg.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52700" y="21907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30</xdr:row>
      <xdr:rowOff>0</xdr:rowOff>
    </xdr:from>
    <xdr:ext cx="219075" cy="142875"/>
    <xdr:pic>
      <xdr:nvPicPr>
        <xdr:cNvPr id="28" name="Εικόνα 27" descr="https://upload.wikimedia.org/wikipedia/commons/thumb/0/09/Flag_of_South_Korea.svg/23px-Flag_of_South_Korea.svg.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52700" y="9906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rogoulas@uth.g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2"/>
  <sheetViews>
    <sheetView tabSelected="1" workbookViewId="0">
      <selection activeCell="E2" sqref="E2"/>
    </sheetView>
  </sheetViews>
  <sheetFormatPr defaultRowHeight="15" x14ac:dyDescent="0.25"/>
  <cols>
    <col min="1" max="1" width="5" customWidth="1"/>
    <col min="2" max="2" width="28" customWidth="1"/>
    <col min="3" max="3" width="27.140625" customWidth="1"/>
    <col min="4" max="4" width="20.5703125" customWidth="1"/>
    <col min="5" max="5" width="20.85546875" customWidth="1"/>
  </cols>
  <sheetData>
    <row r="1" spans="1:5" x14ac:dyDescent="0.25">
      <c r="B1" s="88" t="s">
        <v>263</v>
      </c>
      <c r="C1" s="88" t="s">
        <v>264</v>
      </c>
      <c r="D1" s="88" t="s">
        <v>265</v>
      </c>
      <c r="E1" s="90" t="s">
        <v>285</v>
      </c>
    </row>
    <row r="2" spans="1:5" x14ac:dyDescent="0.25">
      <c r="A2">
        <v>1</v>
      </c>
    </row>
    <row r="4" spans="1:5" x14ac:dyDescent="0.25">
      <c r="B4" s="18" t="s">
        <v>266</v>
      </c>
    </row>
    <row r="5" spans="1:5" x14ac:dyDescent="0.25">
      <c r="A5">
        <v>1</v>
      </c>
      <c r="B5" s="89"/>
    </row>
    <row r="6" spans="1:5" x14ac:dyDescent="0.25">
      <c r="A6">
        <v>2</v>
      </c>
      <c r="B6" s="89"/>
    </row>
    <row r="11" spans="1:5" x14ac:dyDescent="0.25">
      <c r="B11" s="91" t="s">
        <v>267</v>
      </c>
    </row>
    <row r="12" spans="1:5" ht="23.25" customHeight="1" x14ac:dyDescent="0.25">
      <c r="B12" s="92" t="s">
        <v>268</v>
      </c>
    </row>
  </sheetData>
  <hyperlinks>
    <hyperlink ref="B12"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2"/>
  <sheetViews>
    <sheetView topLeftCell="A16" workbookViewId="0">
      <selection activeCell="A6" sqref="A6"/>
    </sheetView>
  </sheetViews>
  <sheetFormatPr defaultRowHeight="12.75" x14ac:dyDescent="0.2"/>
  <cols>
    <col min="1" max="1" width="10.28515625" style="52" customWidth="1"/>
    <col min="2" max="2" width="9.7109375" style="52" customWidth="1"/>
    <col min="3" max="12" width="9.140625" style="52"/>
    <col min="13" max="13" width="16.7109375" style="52" bestFit="1" customWidth="1"/>
    <col min="14" max="14" width="10.28515625" style="52" bestFit="1" customWidth="1"/>
    <col min="15" max="15" width="10.140625" style="52" bestFit="1" customWidth="1"/>
    <col min="16" max="16" width="10" style="52" bestFit="1" customWidth="1"/>
    <col min="17" max="16384" width="9.140625" style="52"/>
  </cols>
  <sheetData>
    <row r="1" spans="1:19" x14ac:dyDescent="0.2">
      <c r="A1" s="30" t="s">
        <v>203</v>
      </c>
    </row>
    <row r="2" spans="1:19" x14ac:dyDescent="0.2">
      <c r="A2" s="52" t="s">
        <v>204</v>
      </c>
    </row>
    <row r="3" spans="1:19" x14ac:dyDescent="0.2">
      <c r="A3" s="52" t="s">
        <v>205</v>
      </c>
    </row>
    <row r="4" spans="1:19" ht="15" x14ac:dyDescent="0.25">
      <c r="A4" s="53" t="s">
        <v>206</v>
      </c>
    </row>
    <row r="5" spans="1:19" ht="15" x14ac:dyDescent="0.25">
      <c r="A5" s="53" t="s">
        <v>207</v>
      </c>
    </row>
    <row r="6" spans="1:19" x14ac:dyDescent="0.2">
      <c r="A6" s="36" t="s">
        <v>270</v>
      </c>
    </row>
    <row r="7" spans="1:19" ht="15" x14ac:dyDescent="0.25">
      <c r="N7" s="104" t="s">
        <v>208</v>
      </c>
      <c r="O7" s="104"/>
      <c r="P7" s="104" t="s">
        <v>209</v>
      </c>
      <c r="Q7" s="104"/>
      <c r="R7" s="105" t="s">
        <v>117</v>
      </c>
      <c r="S7" s="105"/>
    </row>
    <row r="8" spans="1:19" ht="15" x14ac:dyDescent="0.25">
      <c r="N8" s="53" t="s">
        <v>210</v>
      </c>
      <c r="O8" s="53" t="s">
        <v>211</v>
      </c>
      <c r="P8" s="53" t="s">
        <v>210</v>
      </c>
      <c r="Q8" s="53" t="s">
        <v>211</v>
      </c>
      <c r="R8" s="53" t="s">
        <v>210</v>
      </c>
      <c r="S8" s="53" t="s">
        <v>211</v>
      </c>
    </row>
    <row r="9" spans="1:19" x14ac:dyDescent="0.2">
      <c r="A9" s="54" t="s">
        <v>117</v>
      </c>
      <c r="B9" s="55" t="s">
        <v>212</v>
      </c>
      <c r="M9" s="56" t="s">
        <v>158</v>
      </c>
      <c r="N9" s="57"/>
      <c r="O9" s="57"/>
      <c r="P9" s="57"/>
      <c r="Q9" s="57"/>
      <c r="R9" s="57"/>
      <c r="S9" s="57"/>
    </row>
    <row r="10" spans="1:19" x14ac:dyDescent="0.2">
      <c r="A10" s="58"/>
      <c r="B10" s="58" t="s">
        <v>158</v>
      </c>
      <c r="C10" s="58" t="s">
        <v>213</v>
      </c>
      <c r="D10" s="58" t="s">
        <v>214</v>
      </c>
      <c r="E10" s="58" t="s">
        <v>215</v>
      </c>
      <c r="F10" s="58" t="s">
        <v>169</v>
      </c>
      <c r="G10" s="58" t="s">
        <v>216</v>
      </c>
      <c r="H10" s="58" t="s">
        <v>217</v>
      </c>
      <c r="I10" s="58" t="s">
        <v>218</v>
      </c>
      <c r="M10" s="59" t="s">
        <v>213</v>
      </c>
      <c r="N10" s="57"/>
      <c r="O10" s="57"/>
      <c r="P10" s="57"/>
      <c r="Q10" s="57"/>
      <c r="R10" s="57"/>
      <c r="S10" s="57"/>
    </row>
    <row r="11" spans="1:19" x14ac:dyDescent="0.2">
      <c r="A11" s="58" t="s">
        <v>122</v>
      </c>
      <c r="B11" s="58">
        <v>400000</v>
      </c>
      <c r="C11" s="58">
        <v>5000</v>
      </c>
      <c r="D11" s="58">
        <v>10000</v>
      </c>
      <c r="E11" s="58">
        <v>25000</v>
      </c>
      <c r="F11" s="58">
        <v>60000</v>
      </c>
      <c r="G11" s="58">
        <v>5000</v>
      </c>
      <c r="H11" s="58">
        <v>100000</v>
      </c>
      <c r="I11" s="58">
        <v>6000</v>
      </c>
      <c r="M11" s="59" t="s">
        <v>214</v>
      </c>
      <c r="N11" s="57"/>
      <c r="O11" s="57"/>
      <c r="P11" s="57"/>
      <c r="Q11" s="57"/>
      <c r="R11" s="57"/>
      <c r="S11" s="57"/>
    </row>
    <row r="12" spans="1:19" x14ac:dyDescent="0.2">
      <c r="A12" s="58" t="s">
        <v>123</v>
      </c>
      <c r="B12" s="58">
        <f>B11+20000</f>
        <v>420000</v>
      </c>
      <c r="C12" s="58">
        <f>C11+2000</f>
        <v>7000</v>
      </c>
      <c r="D12" s="58">
        <f>D11+5000</f>
        <v>15000</v>
      </c>
      <c r="E12" s="58">
        <v>25000</v>
      </c>
      <c r="F12" s="58">
        <v>60000</v>
      </c>
      <c r="G12" s="58">
        <v>5000</v>
      </c>
      <c r="H12" s="58">
        <v>100000</v>
      </c>
      <c r="I12" s="58">
        <v>6000</v>
      </c>
      <c r="M12" s="59" t="s">
        <v>215</v>
      </c>
      <c r="N12" s="57"/>
      <c r="O12" s="57"/>
      <c r="P12" s="57"/>
      <c r="Q12" s="57"/>
      <c r="R12" s="57"/>
      <c r="S12" s="57"/>
    </row>
    <row r="13" spans="1:19" x14ac:dyDescent="0.2">
      <c r="A13" s="58" t="s">
        <v>124</v>
      </c>
      <c r="B13" s="58">
        <f t="shared" ref="B13:B22" si="0">B12+20000</f>
        <v>440000</v>
      </c>
      <c r="C13" s="58">
        <f t="shared" ref="C13:C22" si="1">C12+2000</f>
        <v>9000</v>
      </c>
      <c r="D13" s="58">
        <f t="shared" ref="D13:D22" si="2">D12+5000</f>
        <v>20000</v>
      </c>
      <c r="E13" s="58">
        <v>25000</v>
      </c>
      <c r="F13" s="58">
        <v>60000</v>
      </c>
      <c r="G13" s="58">
        <v>5000</v>
      </c>
      <c r="H13" s="58">
        <v>100000</v>
      </c>
      <c r="I13" s="58">
        <v>6000</v>
      </c>
      <c r="M13" s="59" t="s">
        <v>169</v>
      </c>
      <c r="N13" s="57"/>
      <c r="O13" s="57"/>
      <c r="P13" s="57"/>
      <c r="Q13" s="57"/>
      <c r="R13" s="57"/>
      <c r="S13" s="57"/>
    </row>
    <row r="14" spans="1:19" x14ac:dyDescent="0.2">
      <c r="A14" s="58" t="s">
        <v>125</v>
      </c>
      <c r="B14" s="58">
        <f t="shared" si="0"/>
        <v>460000</v>
      </c>
      <c r="C14" s="58">
        <f t="shared" si="1"/>
        <v>11000</v>
      </c>
      <c r="D14" s="58">
        <f t="shared" si="2"/>
        <v>25000</v>
      </c>
      <c r="E14" s="58">
        <v>25000</v>
      </c>
      <c r="F14" s="58">
        <f>F13*1.5</f>
        <v>90000</v>
      </c>
      <c r="G14" s="58">
        <v>5000</v>
      </c>
      <c r="H14" s="58">
        <v>100000</v>
      </c>
      <c r="I14" s="58">
        <v>6000</v>
      </c>
      <c r="M14" s="59" t="s">
        <v>216</v>
      </c>
      <c r="N14" s="57"/>
      <c r="O14" s="57"/>
      <c r="P14" s="57"/>
      <c r="Q14" s="57"/>
      <c r="R14" s="57"/>
      <c r="S14" s="57"/>
    </row>
    <row r="15" spans="1:19" x14ac:dyDescent="0.2">
      <c r="A15" s="58" t="s">
        <v>219</v>
      </c>
      <c r="B15" s="58">
        <f t="shared" si="0"/>
        <v>480000</v>
      </c>
      <c r="C15" s="58">
        <f t="shared" si="1"/>
        <v>13000</v>
      </c>
      <c r="D15" s="58">
        <f t="shared" si="2"/>
        <v>30000</v>
      </c>
      <c r="E15" s="58">
        <v>25000</v>
      </c>
      <c r="F15" s="58">
        <v>60000</v>
      </c>
      <c r="G15" s="58">
        <v>5000</v>
      </c>
      <c r="H15" s="58">
        <v>100000</v>
      </c>
      <c r="I15" s="58">
        <v>6000</v>
      </c>
      <c r="M15" s="59" t="s">
        <v>217</v>
      </c>
      <c r="N15" s="57"/>
      <c r="O15" s="57"/>
      <c r="P15" s="57"/>
      <c r="Q15" s="57"/>
      <c r="R15" s="57"/>
      <c r="S15" s="57"/>
    </row>
    <row r="16" spans="1:19" x14ac:dyDescent="0.2">
      <c r="A16" s="58" t="s">
        <v>127</v>
      </c>
      <c r="B16" s="58">
        <f t="shared" si="0"/>
        <v>500000</v>
      </c>
      <c r="C16" s="58">
        <f t="shared" si="1"/>
        <v>15000</v>
      </c>
      <c r="D16" s="58">
        <f t="shared" si="2"/>
        <v>35000</v>
      </c>
      <c r="E16" s="58">
        <v>25000</v>
      </c>
      <c r="F16" s="58">
        <f>F15*1.5</f>
        <v>90000</v>
      </c>
      <c r="G16" s="58">
        <v>5000</v>
      </c>
      <c r="H16" s="58">
        <v>100000</v>
      </c>
      <c r="I16" s="58">
        <v>6000</v>
      </c>
      <c r="M16" s="59" t="s">
        <v>218</v>
      </c>
      <c r="N16" s="57"/>
      <c r="O16" s="57"/>
      <c r="P16" s="57"/>
      <c r="Q16" s="57"/>
      <c r="R16" s="57"/>
      <c r="S16" s="57"/>
    </row>
    <row r="17" spans="1:19" x14ac:dyDescent="0.2">
      <c r="A17" s="58" t="s">
        <v>128</v>
      </c>
      <c r="B17" s="58">
        <f t="shared" si="0"/>
        <v>520000</v>
      </c>
      <c r="C17" s="58">
        <f t="shared" si="1"/>
        <v>17000</v>
      </c>
      <c r="D17" s="58">
        <f t="shared" si="2"/>
        <v>40000</v>
      </c>
      <c r="E17" s="58">
        <v>25000</v>
      </c>
      <c r="F17" s="58">
        <v>60000</v>
      </c>
      <c r="G17" s="58">
        <v>5000</v>
      </c>
      <c r="H17" s="58">
        <v>100000</v>
      </c>
      <c r="I17" s="58">
        <v>6000</v>
      </c>
      <c r="M17" s="56" t="s">
        <v>177</v>
      </c>
      <c r="N17" s="57"/>
      <c r="O17" s="57"/>
      <c r="P17" s="57"/>
      <c r="Q17" s="57"/>
      <c r="R17" s="57"/>
      <c r="S17" s="57"/>
    </row>
    <row r="18" spans="1:19" x14ac:dyDescent="0.2">
      <c r="A18" s="58" t="s">
        <v>129</v>
      </c>
      <c r="B18" s="58">
        <f t="shared" si="0"/>
        <v>540000</v>
      </c>
      <c r="C18" s="58">
        <f t="shared" si="1"/>
        <v>19000</v>
      </c>
      <c r="D18" s="58">
        <f t="shared" si="2"/>
        <v>45000</v>
      </c>
      <c r="E18" s="58">
        <v>25000</v>
      </c>
      <c r="F18" s="58">
        <v>60000</v>
      </c>
      <c r="G18" s="58">
        <v>5000</v>
      </c>
      <c r="H18" s="58">
        <v>100000</v>
      </c>
      <c r="I18" s="58">
        <v>6000</v>
      </c>
      <c r="M18" s="58"/>
    </row>
    <row r="19" spans="1:19" x14ac:dyDescent="0.2">
      <c r="A19" s="58" t="s">
        <v>130</v>
      </c>
      <c r="B19" s="58">
        <f t="shared" si="0"/>
        <v>560000</v>
      </c>
      <c r="C19" s="58">
        <f t="shared" si="1"/>
        <v>21000</v>
      </c>
      <c r="D19" s="58">
        <f t="shared" si="2"/>
        <v>50000</v>
      </c>
      <c r="E19" s="58">
        <v>25000</v>
      </c>
      <c r="F19" s="58">
        <v>60000</v>
      </c>
      <c r="G19" s="58">
        <v>5000</v>
      </c>
      <c r="H19" s="58">
        <v>100000</v>
      </c>
      <c r="I19" s="58">
        <v>6000</v>
      </c>
    </row>
    <row r="20" spans="1:19" ht="15" x14ac:dyDescent="0.25">
      <c r="A20" s="58" t="s">
        <v>131</v>
      </c>
      <c r="B20" s="58">
        <f t="shared" si="0"/>
        <v>580000</v>
      </c>
      <c r="C20" s="58">
        <f t="shared" si="1"/>
        <v>23000</v>
      </c>
      <c r="D20" s="58">
        <f t="shared" si="2"/>
        <v>55000</v>
      </c>
      <c r="E20" s="58">
        <v>25000</v>
      </c>
      <c r="F20" s="58">
        <v>60000</v>
      </c>
      <c r="G20" s="58">
        <v>5000</v>
      </c>
      <c r="H20" s="58">
        <v>100000</v>
      </c>
      <c r="I20" s="58">
        <v>6000</v>
      </c>
      <c r="N20" s="104" t="s">
        <v>220</v>
      </c>
      <c r="O20" s="104"/>
      <c r="P20" s="104" t="s">
        <v>221</v>
      </c>
      <c r="Q20" s="104"/>
      <c r="R20" s="105" t="s">
        <v>120</v>
      </c>
      <c r="S20" s="105"/>
    </row>
    <row r="21" spans="1:19" ht="15" x14ac:dyDescent="0.25">
      <c r="A21" s="58" t="s">
        <v>132</v>
      </c>
      <c r="B21" s="58">
        <f t="shared" si="0"/>
        <v>600000</v>
      </c>
      <c r="C21" s="58">
        <f t="shared" si="1"/>
        <v>25000</v>
      </c>
      <c r="D21" s="58">
        <f t="shared" si="2"/>
        <v>60000</v>
      </c>
      <c r="E21" s="58">
        <v>25000</v>
      </c>
      <c r="F21" s="58">
        <v>60000</v>
      </c>
      <c r="G21" s="58">
        <v>5000</v>
      </c>
      <c r="H21" s="58">
        <v>100000</v>
      </c>
      <c r="I21" s="58">
        <v>6000</v>
      </c>
      <c r="N21" s="53" t="s">
        <v>210</v>
      </c>
      <c r="O21" s="53" t="s">
        <v>211</v>
      </c>
      <c r="P21" s="53" t="s">
        <v>210</v>
      </c>
      <c r="Q21" s="53" t="s">
        <v>211</v>
      </c>
      <c r="R21" s="53" t="s">
        <v>210</v>
      </c>
      <c r="S21" s="53" t="s">
        <v>211</v>
      </c>
    </row>
    <row r="22" spans="1:19" x14ac:dyDescent="0.2">
      <c r="A22" s="58" t="s">
        <v>133</v>
      </c>
      <c r="B22" s="58">
        <f t="shared" si="0"/>
        <v>620000</v>
      </c>
      <c r="C22" s="58">
        <f t="shared" si="1"/>
        <v>27000</v>
      </c>
      <c r="D22" s="58">
        <f t="shared" si="2"/>
        <v>65000</v>
      </c>
      <c r="E22" s="58">
        <v>25000</v>
      </c>
      <c r="F22" s="58">
        <f>F21*2</f>
        <v>120000</v>
      </c>
      <c r="G22" s="58">
        <v>5000</v>
      </c>
      <c r="H22" s="58">
        <v>100000</v>
      </c>
      <c r="I22" s="58">
        <v>6000</v>
      </c>
      <c r="M22" s="56" t="s">
        <v>158</v>
      </c>
      <c r="N22" s="57"/>
      <c r="O22" s="57"/>
      <c r="P22" s="57"/>
      <c r="Q22" s="57"/>
      <c r="R22" s="57"/>
      <c r="S22" s="57"/>
    </row>
    <row r="23" spans="1:19" x14ac:dyDescent="0.2">
      <c r="A23" s="60" t="s">
        <v>117</v>
      </c>
      <c r="B23" s="61" t="s">
        <v>222</v>
      </c>
      <c r="C23" s="58"/>
      <c r="D23" s="58"/>
      <c r="E23" s="58"/>
      <c r="F23" s="58"/>
      <c r="G23" s="58"/>
      <c r="H23" s="58"/>
      <c r="I23" s="58"/>
      <c r="M23" s="59" t="s">
        <v>213</v>
      </c>
      <c r="N23" s="57"/>
      <c r="O23" s="57"/>
      <c r="P23" s="57"/>
      <c r="Q23" s="57"/>
      <c r="R23" s="57"/>
      <c r="S23" s="57"/>
    </row>
    <row r="24" spans="1:19" x14ac:dyDescent="0.2">
      <c r="A24" s="58"/>
      <c r="B24" s="58" t="s">
        <v>158</v>
      </c>
      <c r="C24" s="58" t="s">
        <v>213</v>
      </c>
      <c r="D24" s="58" t="s">
        <v>214</v>
      </c>
      <c r="E24" s="58" t="s">
        <v>215</v>
      </c>
      <c r="F24" s="58" t="s">
        <v>169</v>
      </c>
      <c r="G24" s="58" t="s">
        <v>216</v>
      </c>
      <c r="H24" s="58" t="s">
        <v>217</v>
      </c>
      <c r="I24" s="58" t="s">
        <v>218</v>
      </c>
      <c r="M24" s="59" t="s">
        <v>214</v>
      </c>
      <c r="N24" s="57"/>
      <c r="O24" s="57"/>
      <c r="P24" s="57"/>
      <c r="Q24" s="57"/>
      <c r="R24" s="57"/>
      <c r="S24" s="57"/>
    </row>
    <row r="25" spans="1:19" x14ac:dyDescent="0.2">
      <c r="A25" s="58" t="s">
        <v>122</v>
      </c>
      <c r="B25" s="58">
        <v>500000</v>
      </c>
      <c r="C25" s="58">
        <v>7000</v>
      </c>
      <c r="D25" s="58">
        <v>12000</v>
      </c>
      <c r="E25" s="58">
        <v>30000</v>
      </c>
      <c r="F25" s="58">
        <v>60000</v>
      </c>
      <c r="G25" s="58">
        <v>6000</v>
      </c>
      <c r="H25" s="58">
        <v>100000</v>
      </c>
      <c r="I25" s="58">
        <v>6000</v>
      </c>
      <c r="M25" s="59" t="s">
        <v>215</v>
      </c>
      <c r="N25" s="57"/>
      <c r="O25" s="57"/>
      <c r="P25" s="57"/>
      <c r="Q25" s="57"/>
      <c r="R25" s="57"/>
      <c r="S25" s="57"/>
    </row>
    <row r="26" spans="1:19" x14ac:dyDescent="0.2">
      <c r="A26" s="58" t="s">
        <v>123</v>
      </c>
      <c r="B26" s="58">
        <f>B25+20000</f>
        <v>520000</v>
      </c>
      <c r="C26" s="58">
        <f>C25+2000</f>
        <v>9000</v>
      </c>
      <c r="D26" s="58">
        <f>D25+5000</f>
        <v>17000</v>
      </c>
      <c r="E26" s="58">
        <v>25000</v>
      </c>
      <c r="F26" s="58">
        <v>60000</v>
      </c>
      <c r="G26" s="58">
        <v>5000</v>
      </c>
      <c r="H26" s="58">
        <v>100000</v>
      </c>
      <c r="I26" s="58">
        <v>6000</v>
      </c>
      <c r="M26" s="59" t="s">
        <v>169</v>
      </c>
      <c r="N26" s="57"/>
      <c r="O26" s="57"/>
      <c r="P26" s="57"/>
      <c r="Q26" s="57"/>
      <c r="R26" s="57"/>
      <c r="S26" s="57"/>
    </row>
    <row r="27" spans="1:19" x14ac:dyDescent="0.2">
      <c r="A27" s="58" t="s">
        <v>124</v>
      </c>
      <c r="B27" s="58">
        <f t="shared" ref="B27:B36" si="3">B26+20000</f>
        <v>540000</v>
      </c>
      <c r="C27" s="58">
        <f t="shared" ref="C27:C36" si="4">C26+2000</f>
        <v>11000</v>
      </c>
      <c r="D27" s="58">
        <f t="shared" ref="D27:D36" si="5">D26+5000</f>
        <v>22000</v>
      </c>
      <c r="E27" s="58">
        <v>25000</v>
      </c>
      <c r="F27" s="58">
        <v>60000</v>
      </c>
      <c r="G27" s="58">
        <v>5000</v>
      </c>
      <c r="H27" s="58">
        <v>100000</v>
      </c>
      <c r="I27" s="58">
        <v>6000</v>
      </c>
      <c r="M27" s="59" t="s">
        <v>216</v>
      </c>
      <c r="N27" s="57"/>
      <c r="O27" s="57"/>
      <c r="P27" s="57"/>
      <c r="Q27" s="57"/>
      <c r="R27" s="57"/>
      <c r="S27" s="57"/>
    </row>
    <row r="28" spans="1:19" x14ac:dyDescent="0.2">
      <c r="A28" s="58" t="s">
        <v>125</v>
      </c>
      <c r="B28" s="58">
        <f t="shared" si="3"/>
        <v>560000</v>
      </c>
      <c r="C28" s="58">
        <f t="shared" si="4"/>
        <v>13000</v>
      </c>
      <c r="D28" s="58">
        <f t="shared" si="5"/>
        <v>27000</v>
      </c>
      <c r="E28" s="58">
        <v>25000</v>
      </c>
      <c r="F28" s="58">
        <f>F27*1.5</f>
        <v>90000</v>
      </c>
      <c r="G28" s="58">
        <v>5000</v>
      </c>
      <c r="H28" s="58">
        <v>100000</v>
      </c>
      <c r="I28" s="58">
        <v>6000</v>
      </c>
      <c r="M28" s="59" t="s">
        <v>217</v>
      </c>
      <c r="N28" s="57"/>
      <c r="O28" s="57"/>
      <c r="P28" s="57"/>
      <c r="Q28" s="57"/>
      <c r="R28" s="57"/>
      <c r="S28" s="57"/>
    </row>
    <row r="29" spans="1:19" x14ac:dyDescent="0.2">
      <c r="A29" s="58" t="s">
        <v>219</v>
      </c>
      <c r="B29" s="58">
        <f t="shared" si="3"/>
        <v>580000</v>
      </c>
      <c r="C29" s="58">
        <f t="shared" si="4"/>
        <v>15000</v>
      </c>
      <c r="D29" s="58">
        <f t="shared" si="5"/>
        <v>32000</v>
      </c>
      <c r="E29" s="58">
        <v>25000</v>
      </c>
      <c r="F29" s="58">
        <v>60000</v>
      </c>
      <c r="G29" s="58">
        <v>5000</v>
      </c>
      <c r="H29" s="58">
        <v>100000</v>
      </c>
      <c r="I29" s="58">
        <v>6000</v>
      </c>
      <c r="M29" s="59" t="s">
        <v>218</v>
      </c>
      <c r="N29" s="57"/>
      <c r="O29" s="57"/>
      <c r="P29" s="57"/>
      <c r="Q29" s="57"/>
      <c r="R29" s="57"/>
      <c r="S29" s="57"/>
    </row>
    <row r="30" spans="1:19" x14ac:dyDescent="0.2">
      <c r="A30" s="58" t="s">
        <v>127</v>
      </c>
      <c r="B30" s="58">
        <f t="shared" si="3"/>
        <v>600000</v>
      </c>
      <c r="C30" s="58">
        <f t="shared" si="4"/>
        <v>17000</v>
      </c>
      <c r="D30" s="58">
        <f t="shared" si="5"/>
        <v>37000</v>
      </c>
      <c r="E30" s="58">
        <v>25000</v>
      </c>
      <c r="F30" s="58">
        <f>F29*1.5</f>
        <v>90000</v>
      </c>
      <c r="G30" s="58">
        <v>5000</v>
      </c>
      <c r="H30" s="58">
        <v>100000</v>
      </c>
      <c r="I30" s="58">
        <v>6000</v>
      </c>
      <c r="M30" s="56" t="s">
        <v>177</v>
      </c>
      <c r="N30" s="57"/>
      <c r="O30" s="57"/>
      <c r="P30" s="57"/>
      <c r="Q30" s="57"/>
      <c r="R30" s="57"/>
      <c r="S30" s="57"/>
    </row>
    <row r="31" spans="1:19" x14ac:dyDescent="0.2">
      <c r="A31" s="58" t="s">
        <v>128</v>
      </c>
      <c r="B31" s="58">
        <f t="shared" si="3"/>
        <v>620000</v>
      </c>
      <c r="C31" s="58">
        <f t="shared" si="4"/>
        <v>19000</v>
      </c>
      <c r="D31" s="58">
        <f t="shared" si="5"/>
        <v>42000</v>
      </c>
      <c r="E31" s="58">
        <v>25000</v>
      </c>
      <c r="F31" s="58">
        <v>60000</v>
      </c>
      <c r="G31" s="58">
        <v>5000</v>
      </c>
      <c r="H31" s="58">
        <v>100000</v>
      </c>
      <c r="I31" s="58">
        <v>6000</v>
      </c>
    </row>
    <row r="32" spans="1:19" ht="15" x14ac:dyDescent="0.25">
      <c r="A32" s="58" t="s">
        <v>129</v>
      </c>
      <c r="B32" s="58">
        <f t="shared" si="3"/>
        <v>640000</v>
      </c>
      <c r="C32" s="58">
        <f t="shared" si="4"/>
        <v>21000</v>
      </c>
      <c r="D32" s="58">
        <f t="shared" si="5"/>
        <v>47000</v>
      </c>
      <c r="E32" s="58">
        <v>25000</v>
      </c>
      <c r="F32" s="58">
        <v>60000</v>
      </c>
      <c r="G32" s="58">
        <v>5000</v>
      </c>
      <c r="H32" s="58">
        <v>100000</v>
      </c>
      <c r="I32" s="58">
        <v>6000</v>
      </c>
      <c r="N32" s="102" t="s">
        <v>286</v>
      </c>
      <c r="O32" s="103"/>
    </row>
    <row r="33" spans="1:16" ht="15" x14ac:dyDescent="0.25">
      <c r="A33" s="58" t="s">
        <v>130</v>
      </c>
      <c r="B33" s="58">
        <f t="shared" si="3"/>
        <v>660000</v>
      </c>
      <c r="C33" s="58">
        <f t="shared" si="4"/>
        <v>23000</v>
      </c>
      <c r="D33" s="58">
        <f t="shared" si="5"/>
        <v>52000</v>
      </c>
      <c r="E33" s="58">
        <v>25000</v>
      </c>
      <c r="F33" s="58">
        <v>60000</v>
      </c>
      <c r="G33" s="58">
        <v>5000</v>
      </c>
      <c r="H33" s="58">
        <v>100000</v>
      </c>
      <c r="I33" s="58">
        <v>6000</v>
      </c>
      <c r="N33" s="53" t="s">
        <v>210</v>
      </c>
      <c r="O33" s="53" t="s">
        <v>211</v>
      </c>
      <c r="P33" s="94"/>
    </row>
    <row r="34" spans="1:16" x14ac:dyDescent="0.2">
      <c r="A34" s="58" t="s">
        <v>131</v>
      </c>
      <c r="B34" s="58">
        <f t="shared" si="3"/>
        <v>680000</v>
      </c>
      <c r="C34" s="58">
        <f t="shared" si="4"/>
        <v>25000</v>
      </c>
      <c r="D34" s="58">
        <f t="shared" si="5"/>
        <v>57000</v>
      </c>
      <c r="E34" s="58">
        <v>25000</v>
      </c>
      <c r="F34" s="58">
        <v>60000</v>
      </c>
      <c r="G34" s="58">
        <v>5000</v>
      </c>
      <c r="H34" s="58">
        <v>100000</v>
      </c>
      <c r="I34" s="58">
        <v>6000</v>
      </c>
      <c r="M34" s="56" t="s">
        <v>158</v>
      </c>
      <c r="N34" s="57"/>
      <c r="O34" s="57"/>
      <c r="P34" s="95"/>
    </row>
    <row r="35" spans="1:16" x14ac:dyDescent="0.2">
      <c r="A35" s="58" t="s">
        <v>132</v>
      </c>
      <c r="B35" s="58">
        <f t="shared" si="3"/>
        <v>700000</v>
      </c>
      <c r="C35" s="58">
        <f t="shared" si="4"/>
        <v>27000</v>
      </c>
      <c r="D35" s="58">
        <f t="shared" si="5"/>
        <v>62000</v>
      </c>
      <c r="E35" s="58">
        <v>25000</v>
      </c>
      <c r="F35" s="58">
        <v>60000</v>
      </c>
      <c r="G35" s="58">
        <v>5000</v>
      </c>
      <c r="H35" s="58">
        <v>100000</v>
      </c>
      <c r="I35" s="58">
        <v>6000</v>
      </c>
      <c r="M35" s="59" t="s">
        <v>213</v>
      </c>
      <c r="N35" s="57"/>
      <c r="O35" s="57"/>
      <c r="P35" s="95"/>
    </row>
    <row r="36" spans="1:16" x14ac:dyDescent="0.2">
      <c r="A36" s="58" t="s">
        <v>133</v>
      </c>
      <c r="B36" s="58">
        <f t="shared" si="3"/>
        <v>720000</v>
      </c>
      <c r="C36" s="58">
        <f t="shared" si="4"/>
        <v>29000</v>
      </c>
      <c r="D36" s="58">
        <f t="shared" si="5"/>
        <v>67000</v>
      </c>
      <c r="E36" s="58">
        <v>25000</v>
      </c>
      <c r="F36" s="58">
        <f>F35*2</f>
        <v>120000</v>
      </c>
      <c r="G36" s="58">
        <v>5000</v>
      </c>
      <c r="H36" s="58">
        <v>100000</v>
      </c>
      <c r="I36" s="58">
        <v>6000</v>
      </c>
      <c r="M36" s="59" t="s">
        <v>214</v>
      </c>
      <c r="N36" s="57"/>
      <c r="O36" s="57"/>
      <c r="P36" s="95"/>
    </row>
    <row r="37" spans="1:16" x14ac:dyDescent="0.2">
      <c r="A37" s="62" t="s">
        <v>117</v>
      </c>
      <c r="B37" s="63" t="s">
        <v>223</v>
      </c>
      <c r="C37" s="58"/>
      <c r="D37" s="58"/>
      <c r="E37" s="58"/>
      <c r="F37" s="58"/>
      <c r="G37" s="58"/>
      <c r="H37" s="58"/>
      <c r="I37" s="58"/>
      <c r="M37" s="59" t="s">
        <v>215</v>
      </c>
      <c r="N37" s="57"/>
      <c r="O37" s="57"/>
      <c r="P37" s="95"/>
    </row>
    <row r="38" spans="1:16" x14ac:dyDescent="0.2">
      <c r="A38" s="58"/>
      <c r="B38" s="58" t="s">
        <v>158</v>
      </c>
      <c r="C38" s="58" t="s">
        <v>213</v>
      </c>
      <c r="D38" s="58" t="s">
        <v>214</v>
      </c>
      <c r="E38" s="58" t="s">
        <v>215</v>
      </c>
      <c r="F38" s="58" t="s">
        <v>169</v>
      </c>
      <c r="G38" s="58" t="s">
        <v>216</v>
      </c>
      <c r="H38" s="58" t="s">
        <v>217</v>
      </c>
      <c r="I38" s="58" t="s">
        <v>218</v>
      </c>
      <c r="M38" s="59" t="s">
        <v>169</v>
      </c>
      <c r="N38" s="57"/>
      <c r="O38" s="57"/>
      <c r="P38" s="95"/>
    </row>
    <row r="39" spans="1:16" x14ac:dyDescent="0.2">
      <c r="A39" s="58" t="s">
        <v>122</v>
      </c>
      <c r="B39" s="58">
        <v>30000</v>
      </c>
      <c r="C39" s="58">
        <v>5000</v>
      </c>
      <c r="D39" s="58">
        <v>10000</v>
      </c>
      <c r="E39" s="58">
        <f>B39*0.5</f>
        <v>15000</v>
      </c>
      <c r="F39" s="58">
        <f>B39*0.1</f>
        <v>3000</v>
      </c>
      <c r="G39" s="58">
        <v>20000</v>
      </c>
      <c r="H39" s="58">
        <v>5000</v>
      </c>
      <c r="I39" s="58">
        <f>B39*0.05</f>
        <v>1500</v>
      </c>
      <c r="M39" s="59" t="s">
        <v>216</v>
      </c>
      <c r="N39" s="57"/>
      <c r="O39" s="57"/>
      <c r="P39" s="95"/>
    </row>
    <row r="40" spans="1:16" x14ac:dyDescent="0.2">
      <c r="A40" s="58" t="s">
        <v>123</v>
      </c>
      <c r="B40" s="58">
        <f>B39+10000</f>
        <v>40000</v>
      </c>
      <c r="C40" s="58">
        <f>C39+2000</f>
        <v>7000</v>
      </c>
      <c r="D40" s="58">
        <f>D39+5000</f>
        <v>15000</v>
      </c>
      <c r="E40" s="58">
        <f t="shared" ref="E40:E50" si="6">B40*0.5</f>
        <v>20000</v>
      </c>
      <c r="F40" s="58">
        <f t="shared" ref="F40:F50" si="7">B40*0.1</f>
        <v>4000</v>
      </c>
      <c r="G40" s="58">
        <v>20000</v>
      </c>
      <c r="H40" s="58">
        <v>5000</v>
      </c>
      <c r="I40" s="58">
        <f t="shared" ref="I40:I50" si="8">B40*0.05</f>
        <v>2000</v>
      </c>
      <c r="M40" s="59" t="s">
        <v>217</v>
      </c>
      <c r="N40" s="57"/>
      <c r="O40" s="57"/>
      <c r="P40" s="95"/>
    </row>
    <row r="41" spans="1:16" x14ac:dyDescent="0.2">
      <c r="A41" s="58" t="s">
        <v>124</v>
      </c>
      <c r="B41" s="58">
        <f>B40+10000</f>
        <v>50000</v>
      </c>
      <c r="C41" s="58">
        <f>C40+2000</f>
        <v>9000</v>
      </c>
      <c r="D41" s="58">
        <f>D40+5000</f>
        <v>20000</v>
      </c>
      <c r="E41" s="58">
        <f t="shared" si="6"/>
        <v>25000</v>
      </c>
      <c r="F41" s="58">
        <f t="shared" si="7"/>
        <v>5000</v>
      </c>
      <c r="G41" s="58">
        <v>20000</v>
      </c>
      <c r="H41" s="58">
        <v>5000</v>
      </c>
      <c r="I41" s="58">
        <f t="shared" si="8"/>
        <v>2500</v>
      </c>
      <c r="M41" s="59" t="s">
        <v>218</v>
      </c>
      <c r="N41" s="57"/>
      <c r="O41" s="57"/>
      <c r="P41" s="95"/>
    </row>
    <row r="42" spans="1:16" x14ac:dyDescent="0.2">
      <c r="A42" s="58" t="s">
        <v>125</v>
      </c>
      <c r="B42" s="58">
        <f>B41+10000</f>
        <v>60000</v>
      </c>
      <c r="C42" s="58">
        <f>C41+2000</f>
        <v>11000</v>
      </c>
      <c r="D42" s="58">
        <f>D41+5000</f>
        <v>25000</v>
      </c>
      <c r="E42" s="58">
        <f t="shared" si="6"/>
        <v>30000</v>
      </c>
      <c r="F42" s="58">
        <f t="shared" si="7"/>
        <v>6000</v>
      </c>
      <c r="G42" s="58">
        <v>20000</v>
      </c>
      <c r="H42" s="58">
        <v>5000</v>
      </c>
      <c r="I42" s="58">
        <f t="shared" si="8"/>
        <v>3000</v>
      </c>
      <c r="M42" s="56" t="s">
        <v>177</v>
      </c>
      <c r="N42" s="57"/>
      <c r="O42" s="57"/>
      <c r="P42" s="95"/>
    </row>
    <row r="43" spans="1:16" x14ac:dyDescent="0.2">
      <c r="A43" s="58" t="s">
        <v>219</v>
      </c>
      <c r="B43" s="58">
        <f>B42+10000</f>
        <v>70000</v>
      </c>
      <c r="C43" s="58">
        <f>C42+2000</f>
        <v>13000</v>
      </c>
      <c r="D43" s="58">
        <f>D42+5000</f>
        <v>30000</v>
      </c>
      <c r="E43" s="58">
        <f t="shared" si="6"/>
        <v>35000</v>
      </c>
      <c r="F43" s="58">
        <f t="shared" si="7"/>
        <v>7000</v>
      </c>
      <c r="G43" s="58">
        <v>20000</v>
      </c>
      <c r="H43" s="58">
        <v>5000</v>
      </c>
      <c r="I43" s="58">
        <f t="shared" si="8"/>
        <v>3500</v>
      </c>
      <c r="P43" s="96"/>
    </row>
    <row r="44" spans="1:16" x14ac:dyDescent="0.2">
      <c r="A44" s="58" t="s">
        <v>127</v>
      </c>
      <c r="B44" s="58">
        <f>B43+10000</f>
        <v>80000</v>
      </c>
      <c r="C44" s="58">
        <f>C43+2000</f>
        <v>15000</v>
      </c>
      <c r="D44" s="58">
        <f>D43+5000</f>
        <v>35000</v>
      </c>
      <c r="E44" s="58">
        <f t="shared" si="6"/>
        <v>40000</v>
      </c>
      <c r="F44" s="58">
        <f t="shared" si="7"/>
        <v>8000</v>
      </c>
      <c r="G44" s="58">
        <v>20000</v>
      </c>
      <c r="H44" s="58">
        <v>5000</v>
      </c>
      <c r="I44" s="58">
        <f t="shared" si="8"/>
        <v>4000</v>
      </c>
    </row>
    <row r="45" spans="1:16" x14ac:dyDescent="0.2">
      <c r="A45" s="58" t="s">
        <v>128</v>
      </c>
      <c r="B45" s="58">
        <v>30000</v>
      </c>
      <c r="C45" s="58">
        <v>5000</v>
      </c>
      <c r="D45" s="58">
        <v>10000</v>
      </c>
      <c r="E45" s="58">
        <f>B45*0.5</f>
        <v>15000</v>
      </c>
      <c r="F45" s="58">
        <f>B45*0.1</f>
        <v>3000</v>
      </c>
      <c r="G45" s="58">
        <v>20000</v>
      </c>
      <c r="H45" s="58">
        <v>5000</v>
      </c>
      <c r="I45" s="58">
        <f t="shared" si="8"/>
        <v>1500</v>
      </c>
    </row>
    <row r="46" spans="1:16" x14ac:dyDescent="0.2">
      <c r="A46" s="58" t="s">
        <v>129</v>
      </c>
      <c r="B46" s="58">
        <f>B45+10000</f>
        <v>40000</v>
      </c>
      <c r="C46" s="58">
        <f>C45+2000</f>
        <v>7000</v>
      </c>
      <c r="D46" s="58">
        <f>D45+5000</f>
        <v>15000</v>
      </c>
      <c r="E46" s="58">
        <f t="shared" si="6"/>
        <v>20000</v>
      </c>
      <c r="F46" s="58">
        <f t="shared" si="7"/>
        <v>4000</v>
      </c>
      <c r="G46" s="58">
        <v>20000</v>
      </c>
      <c r="H46" s="58">
        <v>5000</v>
      </c>
      <c r="I46" s="58">
        <f t="shared" si="8"/>
        <v>2000</v>
      </c>
    </row>
    <row r="47" spans="1:16" x14ac:dyDescent="0.2">
      <c r="A47" s="58" t="s">
        <v>130</v>
      </c>
      <c r="B47" s="58">
        <f>B46+10000</f>
        <v>50000</v>
      </c>
      <c r="C47" s="58">
        <f>C46+2000</f>
        <v>9000</v>
      </c>
      <c r="D47" s="58">
        <f>D46+5000</f>
        <v>20000</v>
      </c>
      <c r="E47" s="58">
        <f t="shared" si="6"/>
        <v>25000</v>
      </c>
      <c r="F47" s="58">
        <f t="shared" si="7"/>
        <v>5000</v>
      </c>
      <c r="G47" s="58">
        <v>20000</v>
      </c>
      <c r="H47" s="58">
        <v>5000</v>
      </c>
      <c r="I47" s="58">
        <f t="shared" si="8"/>
        <v>2500</v>
      </c>
    </row>
    <row r="48" spans="1:16" x14ac:dyDescent="0.2">
      <c r="A48" s="58" t="s">
        <v>131</v>
      </c>
      <c r="B48" s="58">
        <f>B47+10000</f>
        <v>60000</v>
      </c>
      <c r="C48" s="58">
        <f>C47+2000</f>
        <v>11000</v>
      </c>
      <c r="D48" s="58">
        <f>D47+5000</f>
        <v>25000</v>
      </c>
      <c r="E48" s="58">
        <f t="shared" si="6"/>
        <v>30000</v>
      </c>
      <c r="F48" s="58">
        <f t="shared" si="7"/>
        <v>6000</v>
      </c>
      <c r="G48" s="58">
        <v>20000</v>
      </c>
      <c r="H48" s="58">
        <v>5000</v>
      </c>
      <c r="I48" s="58">
        <f t="shared" si="8"/>
        <v>3000</v>
      </c>
    </row>
    <row r="49" spans="1:9" x14ac:dyDescent="0.2">
      <c r="A49" s="58" t="s">
        <v>132</v>
      </c>
      <c r="B49" s="58">
        <f>B48+10000</f>
        <v>70000</v>
      </c>
      <c r="C49" s="58">
        <f>C48+2000</f>
        <v>13000</v>
      </c>
      <c r="D49" s="58">
        <f>D48+5000</f>
        <v>30000</v>
      </c>
      <c r="E49" s="58">
        <f t="shared" si="6"/>
        <v>35000</v>
      </c>
      <c r="F49" s="58">
        <f t="shared" si="7"/>
        <v>7000</v>
      </c>
      <c r="G49" s="58">
        <v>20000</v>
      </c>
      <c r="H49" s="58">
        <v>5000</v>
      </c>
      <c r="I49" s="58">
        <f t="shared" si="8"/>
        <v>3500</v>
      </c>
    </row>
    <row r="50" spans="1:9" x14ac:dyDescent="0.2">
      <c r="A50" s="58" t="s">
        <v>133</v>
      </c>
      <c r="B50" s="58">
        <f>B49+10000</f>
        <v>80000</v>
      </c>
      <c r="C50" s="58">
        <f>C49+2000</f>
        <v>15000</v>
      </c>
      <c r="D50" s="58">
        <f>D49+5000</f>
        <v>35000</v>
      </c>
      <c r="E50" s="58">
        <f t="shared" si="6"/>
        <v>40000</v>
      </c>
      <c r="F50" s="58">
        <f t="shared" si="7"/>
        <v>8000</v>
      </c>
      <c r="G50" s="58">
        <v>20000</v>
      </c>
      <c r="H50" s="58">
        <v>5000</v>
      </c>
      <c r="I50" s="58">
        <f t="shared" si="8"/>
        <v>4000</v>
      </c>
    </row>
    <row r="51" spans="1:9" x14ac:dyDescent="0.2">
      <c r="A51" s="62" t="s">
        <v>117</v>
      </c>
      <c r="B51" s="63" t="s">
        <v>224</v>
      </c>
      <c r="C51" s="58"/>
      <c r="D51" s="58"/>
      <c r="E51" s="58"/>
      <c r="F51" s="58"/>
      <c r="G51" s="58"/>
      <c r="H51" s="58"/>
      <c r="I51" s="58"/>
    </row>
    <row r="52" spans="1:9" x14ac:dyDescent="0.2">
      <c r="A52" s="58"/>
      <c r="B52" s="58" t="s">
        <v>158</v>
      </c>
      <c r="C52" s="58" t="s">
        <v>213</v>
      </c>
      <c r="D52" s="58" t="s">
        <v>214</v>
      </c>
      <c r="E52" s="58" t="s">
        <v>215</v>
      </c>
      <c r="F52" s="58" t="s">
        <v>169</v>
      </c>
      <c r="G52" s="58" t="s">
        <v>216</v>
      </c>
      <c r="H52" s="58" t="s">
        <v>217</v>
      </c>
      <c r="I52" s="58" t="s">
        <v>218</v>
      </c>
    </row>
    <row r="53" spans="1:9" x14ac:dyDescent="0.2">
      <c r="A53" s="58" t="s">
        <v>122</v>
      </c>
      <c r="B53" s="58">
        <v>35000</v>
      </c>
      <c r="C53" s="58">
        <v>5000</v>
      </c>
      <c r="D53" s="58">
        <v>10000</v>
      </c>
      <c r="E53" s="58">
        <f t="shared" ref="E53:E58" si="9">B53*0.5</f>
        <v>17500</v>
      </c>
      <c r="F53" s="58">
        <f t="shared" ref="F53:F58" si="10">B53*0.1</f>
        <v>3500</v>
      </c>
      <c r="G53" s="58">
        <v>20000</v>
      </c>
      <c r="H53" s="58">
        <v>5000</v>
      </c>
      <c r="I53" s="58">
        <f>B53*0.05</f>
        <v>1750</v>
      </c>
    </row>
    <row r="54" spans="1:9" x14ac:dyDescent="0.2">
      <c r="A54" s="58" t="s">
        <v>123</v>
      </c>
      <c r="B54" s="58">
        <f>B53+10000</f>
        <v>45000</v>
      </c>
      <c r="C54" s="58">
        <f>C53+2000</f>
        <v>7000</v>
      </c>
      <c r="D54" s="58">
        <f>D53+5000</f>
        <v>15000</v>
      </c>
      <c r="E54" s="58">
        <f t="shared" si="9"/>
        <v>22500</v>
      </c>
      <c r="F54" s="58">
        <f t="shared" si="10"/>
        <v>4500</v>
      </c>
      <c r="G54" s="58">
        <v>20000</v>
      </c>
      <c r="H54" s="58">
        <v>5000</v>
      </c>
      <c r="I54" s="58">
        <f t="shared" ref="I54:I64" si="11">B54*0.05</f>
        <v>2250</v>
      </c>
    </row>
    <row r="55" spans="1:9" x14ac:dyDescent="0.2">
      <c r="A55" s="58" t="s">
        <v>124</v>
      </c>
      <c r="B55" s="58">
        <f>B54+10000</f>
        <v>55000</v>
      </c>
      <c r="C55" s="58">
        <f>C54+2000</f>
        <v>9000</v>
      </c>
      <c r="D55" s="58">
        <f>D54+5000</f>
        <v>20000</v>
      </c>
      <c r="E55" s="58">
        <f t="shared" si="9"/>
        <v>27500</v>
      </c>
      <c r="F55" s="58">
        <f t="shared" si="10"/>
        <v>5500</v>
      </c>
      <c r="G55" s="58">
        <v>20000</v>
      </c>
      <c r="H55" s="58">
        <v>5000</v>
      </c>
      <c r="I55" s="58">
        <f t="shared" si="11"/>
        <v>2750</v>
      </c>
    </row>
    <row r="56" spans="1:9" x14ac:dyDescent="0.2">
      <c r="A56" s="58" t="s">
        <v>125</v>
      </c>
      <c r="B56" s="58">
        <v>70000</v>
      </c>
      <c r="C56" s="58">
        <f>C55+2000</f>
        <v>11000</v>
      </c>
      <c r="D56" s="58">
        <f>D55+5000</f>
        <v>25000</v>
      </c>
      <c r="E56" s="58">
        <f t="shared" si="9"/>
        <v>35000</v>
      </c>
      <c r="F56" s="58">
        <f t="shared" si="10"/>
        <v>7000</v>
      </c>
      <c r="G56" s="58">
        <v>20000</v>
      </c>
      <c r="H56" s="58">
        <v>5000</v>
      </c>
      <c r="I56" s="58">
        <f t="shared" si="11"/>
        <v>3500</v>
      </c>
    </row>
    <row r="57" spans="1:9" x14ac:dyDescent="0.2">
      <c r="A57" s="58" t="s">
        <v>219</v>
      </c>
      <c r="B57" s="58">
        <v>100000</v>
      </c>
      <c r="C57" s="58">
        <f>C56+2000</f>
        <v>13000</v>
      </c>
      <c r="D57" s="58">
        <f>D56+5000</f>
        <v>30000</v>
      </c>
      <c r="E57" s="58">
        <f t="shared" si="9"/>
        <v>50000</v>
      </c>
      <c r="F57" s="58">
        <f t="shared" si="10"/>
        <v>10000</v>
      </c>
      <c r="G57" s="58">
        <v>20000</v>
      </c>
      <c r="H57" s="58">
        <v>5000</v>
      </c>
      <c r="I57" s="58">
        <f t="shared" si="11"/>
        <v>5000</v>
      </c>
    </row>
    <row r="58" spans="1:9" x14ac:dyDescent="0.2">
      <c r="A58" s="58" t="s">
        <v>127</v>
      </c>
      <c r="B58" s="58">
        <v>140000</v>
      </c>
      <c r="C58" s="58">
        <v>30000</v>
      </c>
      <c r="D58" s="58">
        <f>D57+5000</f>
        <v>35000</v>
      </c>
      <c r="E58" s="58">
        <f t="shared" si="9"/>
        <v>70000</v>
      </c>
      <c r="F58" s="58">
        <f t="shared" si="10"/>
        <v>14000</v>
      </c>
      <c r="G58" s="58">
        <v>20000</v>
      </c>
      <c r="H58" s="58">
        <v>5000</v>
      </c>
      <c r="I58" s="58">
        <f t="shared" si="11"/>
        <v>7000</v>
      </c>
    </row>
    <row r="59" spans="1:9" x14ac:dyDescent="0.2">
      <c r="A59" s="58" t="s">
        <v>128</v>
      </c>
      <c r="B59" s="58">
        <v>150000</v>
      </c>
      <c r="C59" s="58">
        <v>10000</v>
      </c>
      <c r="D59" s="58">
        <v>20000</v>
      </c>
      <c r="E59" s="58">
        <v>50000</v>
      </c>
      <c r="F59" s="58">
        <v>10000</v>
      </c>
      <c r="G59" s="58">
        <v>20000</v>
      </c>
      <c r="H59" s="58">
        <v>5000</v>
      </c>
      <c r="I59" s="58">
        <f t="shared" si="11"/>
        <v>7500</v>
      </c>
    </row>
    <row r="60" spans="1:9" x14ac:dyDescent="0.2">
      <c r="A60" s="58" t="s">
        <v>129</v>
      </c>
      <c r="B60" s="58">
        <f>B59+10000</f>
        <v>160000</v>
      </c>
      <c r="C60" s="58">
        <f>C59+2000</f>
        <v>12000</v>
      </c>
      <c r="D60" s="58">
        <f>D59+5000</f>
        <v>25000</v>
      </c>
      <c r="E60" s="58">
        <f>B60*0.5</f>
        <v>80000</v>
      </c>
      <c r="F60" s="58">
        <f>B60*0.1</f>
        <v>16000</v>
      </c>
      <c r="G60" s="58">
        <v>20000</v>
      </c>
      <c r="H60" s="58">
        <v>5000</v>
      </c>
      <c r="I60" s="58">
        <f t="shared" si="11"/>
        <v>8000</v>
      </c>
    </row>
    <row r="61" spans="1:9" x14ac:dyDescent="0.2">
      <c r="A61" s="58" t="s">
        <v>130</v>
      </c>
      <c r="B61" s="58">
        <v>70000</v>
      </c>
      <c r="C61" s="58">
        <f>C60+2000</f>
        <v>14000</v>
      </c>
      <c r="D61" s="58">
        <f>D60+5000</f>
        <v>30000</v>
      </c>
      <c r="E61" s="58">
        <f>B61*0.5</f>
        <v>35000</v>
      </c>
      <c r="F61" s="58">
        <f>B61*0.1</f>
        <v>7000</v>
      </c>
      <c r="G61" s="58">
        <v>20000</v>
      </c>
      <c r="H61" s="58">
        <v>5000</v>
      </c>
      <c r="I61" s="58">
        <f t="shared" si="11"/>
        <v>3500</v>
      </c>
    </row>
    <row r="62" spans="1:9" x14ac:dyDescent="0.2">
      <c r="A62" s="58" t="s">
        <v>131</v>
      </c>
      <c r="B62" s="58">
        <v>100000</v>
      </c>
      <c r="C62" s="58">
        <f>C61+2000</f>
        <v>16000</v>
      </c>
      <c r="D62" s="58">
        <f>D61+5000</f>
        <v>35000</v>
      </c>
      <c r="E62" s="58">
        <f>B62*0.5</f>
        <v>50000</v>
      </c>
      <c r="F62" s="58">
        <f>B62*0.1</f>
        <v>10000</v>
      </c>
      <c r="G62" s="58">
        <v>20000</v>
      </c>
      <c r="H62" s="58">
        <v>5000</v>
      </c>
      <c r="I62" s="58">
        <f t="shared" si="11"/>
        <v>5000</v>
      </c>
    </row>
    <row r="63" spans="1:9" x14ac:dyDescent="0.2">
      <c r="A63" s="58" t="s">
        <v>132</v>
      </c>
      <c r="B63" s="58">
        <v>140000</v>
      </c>
      <c r="C63" s="58">
        <v>30000</v>
      </c>
      <c r="D63" s="58">
        <f>D62+5000</f>
        <v>40000</v>
      </c>
      <c r="E63" s="58">
        <f>B63*0.5</f>
        <v>70000</v>
      </c>
      <c r="F63" s="58">
        <f>B63*0.1</f>
        <v>14000</v>
      </c>
      <c r="G63" s="58">
        <v>20000</v>
      </c>
      <c r="H63" s="58">
        <v>5000</v>
      </c>
      <c r="I63" s="58">
        <f t="shared" si="11"/>
        <v>7000</v>
      </c>
    </row>
    <row r="64" spans="1:9" x14ac:dyDescent="0.2">
      <c r="A64" s="58" t="s">
        <v>133</v>
      </c>
      <c r="B64" s="58">
        <v>150000</v>
      </c>
      <c r="C64" s="58">
        <v>10000</v>
      </c>
      <c r="D64" s="58">
        <v>20000</v>
      </c>
      <c r="E64" s="58">
        <v>50000</v>
      </c>
      <c r="F64" s="58">
        <v>10000</v>
      </c>
      <c r="G64" s="58">
        <v>20000</v>
      </c>
      <c r="H64" s="58">
        <v>5000</v>
      </c>
      <c r="I64" s="58">
        <f t="shared" si="11"/>
        <v>7500</v>
      </c>
    </row>
    <row r="65" spans="1:9" x14ac:dyDescent="0.2">
      <c r="A65" s="58"/>
      <c r="B65" s="58"/>
      <c r="C65" s="58"/>
      <c r="D65" s="58"/>
      <c r="E65" s="58"/>
      <c r="F65" s="58"/>
      <c r="G65" s="58"/>
      <c r="H65" s="58"/>
      <c r="I65" s="58"/>
    </row>
    <row r="66" spans="1:9" x14ac:dyDescent="0.2">
      <c r="A66" s="58"/>
      <c r="B66" s="58"/>
      <c r="C66" s="58"/>
      <c r="D66" s="58"/>
      <c r="E66" s="58"/>
      <c r="F66" s="58"/>
      <c r="G66" s="58"/>
      <c r="H66" s="58"/>
      <c r="I66" s="58"/>
    </row>
    <row r="67" spans="1:9" x14ac:dyDescent="0.2">
      <c r="A67" s="64" t="s">
        <v>120</v>
      </c>
      <c r="B67" s="65" t="s">
        <v>212</v>
      </c>
      <c r="C67" s="58"/>
      <c r="D67" s="58"/>
      <c r="E67" s="58"/>
      <c r="F67" s="58"/>
      <c r="G67" s="58"/>
      <c r="H67" s="58"/>
      <c r="I67" s="58"/>
    </row>
    <row r="68" spans="1:9" x14ac:dyDescent="0.2">
      <c r="A68" s="58"/>
      <c r="B68" s="58" t="s">
        <v>158</v>
      </c>
      <c r="C68" s="58" t="s">
        <v>213</v>
      </c>
      <c r="D68" s="58" t="s">
        <v>214</v>
      </c>
      <c r="E68" s="58" t="s">
        <v>215</v>
      </c>
      <c r="F68" s="58" t="s">
        <v>169</v>
      </c>
      <c r="G68" s="58" t="s">
        <v>216</v>
      </c>
      <c r="H68" s="58" t="s">
        <v>217</v>
      </c>
      <c r="I68" s="58" t="s">
        <v>218</v>
      </c>
    </row>
    <row r="69" spans="1:9" x14ac:dyDescent="0.2">
      <c r="A69" s="58" t="s">
        <v>122</v>
      </c>
      <c r="B69" s="58">
        <v>200000</v>
      </c>
      <c r="C69" s="58">
        <v>5000</v>
      </c>
      <c r="D69" s="58">
        <v>10000</v>
      </c>
      <c r="E69" s="58">
        <v>15000</v>
      </c>
      <c r="F69" s="58">
        <v>30000</v>
      </c>
      <c r="G69" s="58">
        <v>5000</v>
      </c>
      <c r="H69" s="58">
        <v>70000</v>
      </c>
      <c r="I69" s="58">
        <v>4000</v>
      </c>
    </row>
    <row r="70" spans="1:9" x14ac:dyDescent="0.2">
      <c r="A70" s="58" t="s">
        <v>123</v>
      </c>
      <c r="B70" s="58">
        <f>B69+20000</f>
        <v>220000</v>
      </c>
      <c r="C70" s="58">
        <f>C69+2000</f>
        <v>7000</v>
      </c>
      <c r="D70" s="58">
        <f>D69+5000</f>
        <v>15000</v>
      </c>
      <c r="E70" s="58">
        <v>15000</v>
      </c>
      <c r="F70" s="58">
        <v>30000</v>
      </c>
      <c r="G70" s="58">
        <v>5000</v>
      </c>
      <c r="H70" s="58">
        <v>70000</v>
      </c>
      <c r="I70" s="58">
        <v>4000</v>
      </c>
    </row>
    <row r="71" spans="1:9" x14ac:dyDescent="0.2">
      <c r="A71" s="58" t="s">
        <v>124</v>
      </c>
      <c r="B71" s="58">
        <f t="shared" ref="B71:B80" si="12">B70+20000</f>
        <v>240000</v>
      </c>
      <c r="C71" s="58">
        <f t="shared" ref="C71:C80" si="13">C70+2000</f>
        <v>9000</v>
      </c>
      <c r="D71" s="58">
        <f t="shared" ref="D71:D80" si="14">D70+5000</f>
        <v>20000</v>
      </c>
      <c r="E71" s="58">
        <v>15000</v>
      </c>
      <c r="F71" s="58">
        <v>30000</v>
      </c>
      <c r="G71" s="58">
        <v>5000</v>
      </c>
      <c r="H71" s="58">
        <v>70000</v>
      </c>
      <c r="I71" s="58">
        <v>4000</v>
      </c>
    </row>
    <row r="72" spans="1:9" x14ac:dyDescent="0.2">
      <c r="A72" s="58" t="s">
        <v>125</v>
      </c>
      <c r="B72" s="58">
        <f t="shared" si="12"/>
        <v>260000</v>
      </c>
      <c r="C72" s="58">
        <f t="shared" si="13"/>
        <v>11000</v>
      </c>
      <c r="D72" s="58">
        <f t="shared" si="14"/>
        <v>25000</v>
      </c>
      <c r="E72" s="58">
        <v>15000</v>
      </c>
      <c r="F72" s="58">
        <f>F71*1.5</f>
        <v>45000</v>
      </c>
      <c r="G72" s="58">
        <v>5000</v>
      </c>
      <c r="H72" s="58">
        <v>70000</v>
      </c>
      <c r="I72" s="58">
        <v>4000</v>
      </c>
    </row>
    <row r="73" spans="1:9" x14ac:dyDescent="0.2">
      <c r="A73" s="58" t="s">
        <v>219</v>
      </c>
      <c r="B73" s="58">
        <f t="shared" si="12"/>
        <v>280000</v>
      </c>
      <c r="C73" s="58">
        <f t="shared" si="13"/>
        <v>13000</v>
      </c>
      <c r="D73" s="58">
        <f t="shared" si="14"/>
        <v>30000</v>
      </c>
      <c r="E73" s="58">
        <v>15000</v>
      </c>
      <c r="F73" s="58">
        <v>30000</v>
      </c>
      <c r="G73" s="58">
        <v>5000</v>
      </c>
      <c r="H73" s="58">
        <v>70000</v>
      </c>
      <c r="I73" s="58">
        <v>4000</v>
      </c>
    </row>
    <row r="74" spans="1:9" x14ac:dyDescent="0.2">
      <c r="A74" s="58" t="s">
        <v>127</v>
      </c>
      <c r="B74" s="58">
        <f t="shared" si="12"/>
        <v>300000</v>
      </c>
      <c r="C74" s="58">
        <f t="shared" si="13"/>
        <v>15000</v>
      </c>
      <c r="D74" s="58">
        <f t="shared" si="14"/>
        <v>35000</v>
      </c>
      <c r="E74" s="58">
        <v>15000</v>
      </c>
      <c r="F74" s="58">
        <f>F73*1.5</f>
        <v>45000</v>
      </c>
      <c r="G74" s="58">
        <v>5000</v>
      </c>
      <c r="H74" s="58">
        <v>70000</v>
      </c>
      <c r="I74" s="58">
        <v>4000</v>
      </c>
    </row>
    <row r="75" spans="1:9" x14ac:dyDescent="0.2">
      <c r="A75" s="58" t="s">
        <v>128</v>
      </c>
      <c r="B75" s="58">
        <f t="shared" si="12"/>
        <v>320000</v>
      </c>
      <c r="C75" s="58">
        <f t="shared" si="13"/>
        <v>17000</v>
      </c>
      <c r="D75" s="58">
        <f t="shared" si="14"/>
        <v>40000</v>
      </c>
      <c r="E75" s="58">
        <v>15000</v>
      </c>
      <c r="F75" s="58">
        <v>30000</v>
      </c>
      <c r="G75" s="58">
        <v>5000</v>
      </c>
      <c r="H75" s="58">
        <v>70000</v>
      </c>
      <c r="I75" s="58">
        <v>4000</v>
      </c>
    </row>
    <row r="76" spans="1:9" x14ac:dyDescent="0.2">
      <c r="A76" s="58" t="s">
        <v>129</v>
      </c>
      <c r="B76" s="58">
        <f t="shared" si="12"/>
        <v>340000</v>
      </c>
      <c r="C76" s="58">
        <f t="shared" si="13"/>
        <v>19000</v>
      </c>
      <c r="D76" s="58">
        <f t="shared" si="14"/>
        <v>45000</v>
      </c>
      <c r="E76" s="58">
        <v>15000</v>
      </c>
      <c r="F76" s="58">
        <v>30000</v>
      </c>
      <c r="G76" s="58">
        <v>5000</v>
      </c>
      <c r="H76" s="58">
        <v>70000</v>
      </c>
      <c r="I76" s="58">
        <v>4000</v>
      </c>
    </row>
    <row r="77" spans="1:9" x14ac:dyDescent="0.2">
      <c r="A77" s="58" t="s">
        <v>130</v>
      </c>
      <c r="B77" s="58">
        <f t="shared" si="12"/>
        <v>360000</v>
      </c>
      <c r="C77" s="58">
        <f t="shared" si="13"/>
        <v>21000</v>
      </c>
      <c r="D77" s="58">
        <f t="shared" si="14"/>
        <v>50000</v>
      </c>
      <c r="E77" s="58">
        <v>15000</v>
      </c>
      <c r="F77" s="58">
        <v>30000</v>
      </c>
      <c r="G77" s="58">
        <v>5000</v>
      </c>
      <c r="H77" s="58">
        <v>70000</v>
      </c>
      <c r="I77" s="58">
        <v>4000</v>
      </c>
    </row>
    <row r="78" spans="1:9" x14ac:dyDescent="0.2">
      <c r="A78" s="58" t="s">
        <v>131</v>
      </c>
      <c r="B78" s="58">
        <f t="shared" si="12"/>
        <v>380000</v>
      </c>
      <c r="C78" s="58">
        <f t="shared" si="13"/>
        <v>23000</v>
      </c>
      <c r="D78" s="58">
        <f t="shared" si="14"/>
        <v>55000</v>
      </c>
      <c r="E78" s="58">
        <v>15000</v>
      </c>
      <c r="F78" s="58">
        <v>30000</v>
      </c>
      <c r="G78" s="58">
        <v>5000</v>
      </c>
      <c r="H78" s="58">
        <v>70000</v>
      </c>
      <c r="I78" s="58">
        <v>4000</v>
      </c>
    </row>
    <row r="79" spans="1:9" x14ac:dyDescent="0.2">
      <c r="A79" s="58" t="s">
        <v>132</v>
      </c>
      <c r="B79" s="58">
        <f t="shared" si="12"/>
        <v>400000</v>
      </c>
      <c r="C79" s="58">
        <f t="shared" si="13"/>
        <v>25000</v>
      </c>
      <c r="D79" s="58">
        <f t="shared" si="14"/>
        <v>60000</v>
      </c>
      <c r="E79" s="58">
        <v>15000</v>
      </c>
      <c r="F79" s="58">
        <v>30000</v>
      </c>
      <c r="G79" s="58">
        <v>5000</v>
      </c>
      <c r="H79" s="58">
        <v>70000</v>
      </c>
      <c r="I79" s="58">
        <v>4000</v>
      </c>
    </row>
    <row r="80" spans="1:9" x14ac:dyDescent="0.2">
      <c r="A80" s="58" t="s">
        <v>133</v>
      </c>
      <c r="B80" s="58">
        <f t="shared" si="12"/>
        <v>420000</v>
      </c>
      <c r="C80" s="58">
        <f t="shared" si="13"/>
        <v>27000</v>
      </c>
      <c r="D80" s="58">
        <f t="shared" si="14"/>
        <v>65000</v>
      </c>
      <c r="E80" s="58">
        <v>15000</v>
      </c>
      <c r="F80" s="58">
        <f>F79*2</f>
        <v>60000</v>
      </c>
      <c r="G80" s="58">
        <v>5000</v>
      </c>
      <c r="H80" s="58">
        <v>70000</v>
      </c>
      <c r="I80" s="58">
        <v>4000</v>
      </c>
    </row>
    <row r="81" spans="1:9" x14ac:dyDescent="0.2">
      <c r="A81" s="66" t="s">
        <v>120</v>
      </c>
      <c r="B81" s="55" t="s">
        <v>222</v>
      </c>
      <c r="C81" s="58"/>
      <c r="D81" s="58"/>
      <c r="E81" s="58"/>
      <c r="F81" s="58"/>
      <c r="G81" s="58"/>
      <c r="H81" s="58"/>
      <c r="I81" s="58"/>
    </row>
    <row r="82" spans="1:9" x14ac:dyDescent="0.2">
      <c r="A82" s="58"/>
      <c r="B82" s="58" t="s">
        <v>158</v>
      </c>
      <c r="C82" s="58" t="s">
        <v>213</v>
      </c>
      <c r="D82" s="58" t="s">
        <v>214</v>
      </c>
      <c r="E82" s="58" t="s">
        <v>215</v>
      </c>
      <c r="F82" s="58" t="s">
        <v>169</v>
      </c>
      <c r="G82" s="58" t="s">
        <v>216</v>
      </c>
      <c r="H82" s="58" t="s">
        <v>217</v>
      </c>
      <c r="I82" s="58" t="s">
        <v>218</v>
      </c>
    </row>
    <row r="83" spans="1:9" x14ac:dyDescent="0.2">
      <c r="A83" s="58" t="s">
        <v>122</v>
      </c>
      <c r="B83" s="58">
        <v>180000</v>
      </c>
      <c r="C83" s="58">
        <v>7000</v>
      </c>
      <c r="D83" s="58">
        <v>6000</v>
      </c>
      <c r="E83" s="58">
        <v>30000</v>
      </c>
      <c r="F83" s="58">
        <v>30000</v>
      </c>
      <c r="G83" s="58">
        <v>6000</v>
      </c>
      <c r="H83" s="58">
        <v>70000</v>
      </c>
      <c r="I83" s="58">
        <v>4000</v>
      </c>
    </row>
    <row r="84" spans="1:9" x14ac:dyDescent="0.2">
      <c r="A84" s="58" t="s">
        <v>123</v>
      </c>
      <c r="B84" s="58">
        <f>B83+20000</f>
        <v>200000</v>
      </c>
      <c r="C84" s="58">
        <f>C83+1000</f>
        <v>8000</v>
      </c>
      <c r="D84" s="58">
        <f t="shared" ref="D84:D89" si="15">D83+5000</f>
        <v>11000</v>
      </c>
      <c r="E84" s="58">
        <v>15000</v>
      </c>
      <c r="F84" s="58">
        <v>30000</v>
      </c>
      <c r="G84" s="58">
        <v>5000</v>
      </c>
      <c r="H84" s="58">
        <v>70000</v>
      </c>
      <c r="I84" s="58">
        <v>4000</v>
      </c>
    </row>
    <row r="85" spans="1:9" x14ac:dyDescent="0.2">
      <c r="A85" s="58" t="s">
        <v>124</v>
      </c>
      <c r="B85" s="58">
        <f t="shared" ref="B85:B94" si="16">B84+20000</f>
        <v>220000</v>
      </c>
      <c r="C85" s="58">
        <f t="shared" ref="C85:C94" si="17">C84+1000</f>
        <v>9000</v>
      </c>
      <c r="D85" s="58">
        <f t="shared" si="15"/>
        <v>16000</v>
      </c>
      <c r="E85" s="58">
        <v>15000</v>
      </c>
      <c r="F85" s="58">
        <v>30000</v>
      </c>
      <c r="G85" s="58">
        <v>5000</v>
      </c>
      <c r="H85" s="58">
        <v>70000</v>
      </c>
      <c r="I85" s="58">
        <v>4000</v>
      </c>
    </row>
    <row r="86" spans="1:9" x14ac:dyDescent="0.2">
      <c r="A86" s="58" t="s">
        <v>125</v>
      </c>
      <c r="B86" s="58">
        <f t="shared" si="16"/>
        <v>240000</v>
      </c>
      <c r="C86" s="58">
        <f t="shared" si="17"/>
        <v>10000</v>
      </c>
      <c r="D86" s="58">
        <f t="shared" si="15"/>
        <v>21000</v>
      </c>
      <c r="E86" s="58">
        <v>15000</v>
      </c>
      <c r="F86" s="58">
        <f>F85*1.5</f>
        <v>45000</v>
      </c>
      <c r="G86" s="58">
        <v>5000</v>
      </c>
      <c r="H86" s="58">
        <v>70000</v>
      </c>
      <c r="I86" s="58">
        <v>4000</v>
      </c>
    </row>
    <row r="87" spans="1:9" x14ac:dyDescent="0.2">
      <c r="A87" s="58" t="s">
        <v>219</v>
      </c>
      <c r="B87" s="58">
        <f t="shared" si="16"/>
        <v>260000</v>
      </c>
      <c r="C87" s="58">
        <f t="shared" si="17"/>
        <v>11000</v>
      </c>
      <c r="D87" s="58">
        <f t="shared" si="15"/>
        <v>26000</v>
      </c>
      <c r="E87" s="58">
        <v>15000</v>
      </c>
      <c r="F87" s="58">
        <v>30000</v>
      </c>
      <c r="G87" s="58">
        <v>5000</v>
      </c>
      <c r="H87" s="58">
        <v>70000</v>
      </c>
      <c r="I87" s="58">
        <v>4000</v>
      </c>
    </row>
    <row r="88" spans="1:9" x14ac:dyDescent="0.2">
      <c r="A88" s="58" t="s">
        <v>127</v>
      </c>
      <c r="B88" s="58">
        <f t="shared" si="16"/>
        <v>280000</v>
      </c>
      <c r="C88" s="58">
        <f t="shared" si="17"/>
        <v>12000</v>
      </c>
      <c r="D88" s="58">
        <f t="shared" si="15"/>
        <v>31000</v>
      </c>
      <c r="E88" s="58">
        <v>15000</v>
      </c>
      <c r="F88" s="58">
        <f>F87*1.5</f>
        <v>45000</v>
      </c>
      <c r="G88" s="58">
        <v>5000</v>
      </c>
      <c r="H88" s="58">
        <v>70000</v>
      </c>
      <c r="I88" s="58">
        <v>4000</v>
      </c>
    </row>
    <row r="89" spans="1:9" x14ac:dyDescent="0.2">
      <c r="A89" s="58" t="s">
        <v>128</v>
      </c>
      <c r="B89" s="58">
        <f t="shared" si="16"/>
        <v>300000</v>
      </c>
      <c r="C89" s="58">
        <f t="shared" si="17"/>
        <v>13000</v>
      </c>
      <c r="D89" s="58">
        <f t="shared" si="15"/>
        <v>36000</v>
      </c>
      <c r="E89" s="58">
        <v>15000</v>
      </c>
      <c r="F89" s="58">
        <v>30000</v>
      </c>
      <c r="G89" s="58">
        <v>5000</v>
      </c>
      <c r="H89" s="58">
        <v>70000</v>
      </c>
      <c r="I89" s="58">
        <v>4000</v>
      </c>
    </row>
    <row r="90" spans="1:9" x14ac:dyDescent="0.2">
      <c r="A90" s="58" t="s">
        <v>129</v>
      </c>
      <c r="B90" s="58">
        <f t="shared" si="16"/>
        <v>320000</v>
      </c>
      <c r="C90" s="58">
        <f t="shared" si="17"/>
        <v>14000</v>
      </c>
      <c r="D90" s="58">
        <f>D89+3000</f>
        <v>39000</v>
      </c>
      <c r="E90" s="58">
        <v>15000</v>
      </c>
      <c r="F90" s="58">
        <v>30000</v>
      </c>
      <c r="G90" s="58">
        <v>5000</v>
      </c>
      <c r="H90" s="58">
        <v>70000</v>
      </c>
      <c r="I90" s="58">
        <v>4000</v>
      </c>
    </row>
    <row r="91" spans="1:9" x14ac:dyDescent="0.2">
      <c r="A91" s="58" t="s">
        <v>130</v>
      </c>
      <c r="B91" s="58">
        <f t="shared" si="16"/>
        <v>340000</v>
      </c>
      <c r="C91" s="58">
        <f t="shared" si="17"/>
        <v>15000</v>
      </c>
      <c r="D91" s="58">
        <f>D90+3000</f>
        <v>42000</v>
      </c>
      <c r="E91" s="58">
        <v>15000</v>
      </c>
      <c r="F91" s="58">
        <v>30000</v>
      </c>
      <c r="G91" s="58">
        <v>5000</v>
      </c>
      <c r="H91" s="58">
        <v>70000</v>
      </c>
      <c r="I91" s="58">
        <v>4000</v>
      </c>
    </row>
    <row r="92" spans="1:9" x14ac:dyDescent="0.2">
      <c r="A92" s="58" t="s">
        <v>131</v>
      </c>
      <c r="B92" s="58">
        <f t="shared" si="16"/>
        <v>360000</v>
      </c>
      <c r="C92" s="58">
        <f t="shared" si="17"/>
        <v>16000</v>
      </c>
      <c r="D92" s="58">
        <f>D91+3000</f>
        <v>45000</v>
      </c>
      <c r="E92" s="58">
        <v>15000</v>
      </c>
      <c r="F92" s="58">
        <v>30000</v>
      </c>
      <c r="G92" s="58">
        <v>5000</v>
      </c>
      <c r="H92" s="58">
        <v>70000</v>
      </c>
      <c r="I92" s="58">
        <v>4000</v>
      </c>
    </row>
    <row r="93" spans="1:9" x14ac:dyDescent="0.2">
      <c r="A93" s="58" t="s">
        <v>132</v>
      </c>
      <c r="B93" s="58">
        <f t="shared" si="16"/>
        <v>380000</v>
      </c>
      <c r="C93" s="58">
        <f t="shared" si="17"/>
        <v>17000</v>
      </c>
      <c r="D93" s="58">
        <f>D92+3000</f>
        <v>48000</v>
      </c>
      <c r="E93" s="58">
        <v>25000</v>
      </c>
      <c r="F93" s="58">
        <v>30000</v>
      </c>
      <c r="G93" s="58">
        <v>5000</v>
      </c>
      <c r="H93" s="58">
        <v>70000</v>
      </c>
      <c r="I93" s="58">
        <v>4000</v>
      </c>
    </row>
    <row r="94" spans="1:9" x14ac:dyDescent="0.2">
      <c r="A94" s="58" t="s">
        <v>133</v>
      </c>
      <c r="B94" s="58">
        <f t="shared" si="16"/>
        <v>400000</v>
      </c>
      <c r="C94" s="58">
        <f t="shared" si="17"/>
        <v>18000</v>
      </c>
      <c r="D94" s="58">
        <f>D93+3000</f>
        <v>51000</v>
      </c>
      <c r="E94" s="58">
        <v>25000</v>
      </c>
      <c r="F94" s="58">
        <f>F93*2</f>
        <v>60000</v>
      </c>
      <c r="G94" s="58">
        <v>5000</v>
      </c>
      <c r="H94" s="58">
        <v>70000</v>
      </c>
      <c r="I94" s="58">
        <v>4000</v>
      </c>
    </row>
    <row r="95" spans="1:9" x14ac:dyDescent="0.2">
      <c r="A95" s="62" t="s">
        <v>120</v>
      </c>
      <c r="B95" s="63" t="s">
        <v>223</v>
      </c>
      <c r="C95" s="58"/>
      <c r="D95" s="58"/>
      <c r="E95" s="58"/>
      <c r="F95" s="58"/>
      <c r="G95" s="58"/>
      <c r="H95" s="58"/>
      <c r="I95" s="58"/>
    </row>
    <row r="96" spans="1:9" x14ac:dyDescent="0.2">
      <c r="A96" s="58"/>
      <c r="B96" s="58" t="s">
        <v>158</v>
      </c>
      <c r="C96" s="58" t="s">
        <v>213</v>
      </c>
      <c r="D96" s="58" t="s">
        <v>214</v>
      </c>
      <c r="E96" s="58" t="s">
        <v>215</v>
      </c>
      <c r="F96" s="58" t="s">
        <v>169</v>
      </c>
      <c r="G96" s="58" t="s">
        <v>216</v>
      </c>
      <c r="H96" s="58" t="s">
        <v>217</v>
      </c>
      <c r="I96" s="58" t="s">
        <v>218</v>
      </c>
    </row>
    <row r="97" spans="1:9" x14ac:dyDescent="0.2">
      <c r="A97" s="58" t="s">
        <v>122</v>
      </c>
      <c r="B97" s="58">
        <v>20000</v>
      </c>
      <c r="C97" s="58">
        <v>5000</v>
      </c>
      <c r="D97" s="58">
        <v>10000</v>
      </c>
      <c r="E97" s="58">
        <f>B97*0.5</f>
        <v>10000</v>
      </c>
      <c r="F97" s="58">
        <f>B97*0.1</f>
        <v>2000</v>
      </c>
      <c r="G97" s="58">
        <v>20000</v>
      </c>
      <c r="H97" s="58">
        <v>5000</v>
      </c>
      <c r="I97" s="58">
        <f>B97*0.05</f>
        <v>1000</v>
      </c>
    </row>
    <row r="98" spans="1:9" x14ac:dyDescent="0.2">
      <c r="A98" s="58" t="s">
        <v>123</v>
      </c>
      <c r="B98" s="58">
        <f>B97+10000</f>
        <v>30000</v>
      </c>
      <c r="C98" s="58">
        <f>C97+2000</f>
        <v>7000</v>
      </c>
      <c r="D98" s="58">
        <f>D97+5000</f>
        <v>15000</v>
      </c>
      <c r="E98" s="58">
        <f t="shared" ref="E98:E108" si="18">B98*0.5</f>
        <v>15000</v>
      </c>
      <c r="F98" s="58">
        <f t="shared" ref="F98:F108" si="19">B98*0.1</f>
        <v>3000</v>
      </c>
      <c r="G98" s="58">
        <v>20000</v>
      </c>
      <c r="H98" s="58">
        <v>5000</v>
      </c>
      <c r="I98" s="58">
        <f t="shared" ref="I98:I108" si="20">B98*0.05</f>
        <v>1500</v>
      </c>
    </row>
    <row r="99" spans="1:9" x14ac:dyDescent="0.2">
      <c r="A99" s="58" t="s">
        <v>124</v>
      </c>
      <c r="B99" s="58">
        <f>B98+10000</f>
        <v>40000</v>
      </c>
      <c r="C99" s="58">
        <f>C98+2000</f>
        <v>9000</v>
      </c>
      <c r="D99" s="58">
        <f>D98+5000</f>
        <v>20000</v>
      </c>
      <c r="E99" s="58">
        <f t="shared" si="18"/>
        <v>20000</v>
      </c>
      <c r="F99" s="58">
        <f t="shared" si="19"/>
        <v>4000</v>
      </c>
      <c r="G99" s="58">
        <v>20000</v>
      </c>
      <c r="H99" s="58">
        <v>5000</v>
      </c>
      <c r="I99" s="58">
        <f t="shared" si="20"/>
        <v>2000</v>
      </c>
    </row>
    <row r="100" spans="1:9" x14ac:dyDescent="0.2">
      <c r="A100" s="58" t="s">
        <v>125</v>
      </c>
      <c r="B100" s="58">
        <f>B99+10000</f>
        <v>50000</v>
      </c>
      <c r="C100" s="58">
        <f>C99+2000</f>
        <v>11000</v>
      </c>
      <c r="D100" s="58">
        <f>D99+5000</f>
        <v>25000</v>
      </c>
      <c r="E100" s="58">
        <f t="shared" si="18"/>
        <v>25000</v>
      </c>
      <c r="F100" s="58">
        <f t="shared" si="19"/>
        <v>5000</v>
      </c>
      <c r="G100" s="58">
        <v>20000</v>
      </c>
      <c r="H100" s="58">
        <v>5000</v>
      </c>
      <c r="I100" s="58">
        <f t="shared" si="20"/>
        <v>2500</v>
      </c>
    </row>
    <row r="101" spans="1:9" x14ac:dyDescent="0.2">
      <c r="A101" s="58" t="s">
        <v>219</v>
      </c>
      <c r="B101" s="58">
        <f>B100+10000</f>
        <v>60000</v>
      </c>
      <c r="C101" s="58">
        <f>C100+2000</f>
        <v>13000</v>
      </c>
      <c r="D101" s="58">
        <f>D100+5000</f>
        <v>30000</v>
      </c>
      <c r="E101" s="58">
        <f t="shared" si="18"/>
        <v>30000</v>
      </c>
      <c r="F101" s="58">
        <f t="shared" si="19"/>
        <v>6000</v>
      </c>
      <c r="G101" s="58">
        <v>20000</v>
      </c>
      <c r="H101" s="58">
        <v>5000</v>
      </c>
      <c r="I101" s="58">
        <f t="shared" si="20"/>
        <v>3000</v>
      </c>
    </row>
    <row r="102" spans="1:9" x14ac:dyDescent="0.2">
      <c r="A102" s="58" t="s">
        <v>127</v>
      </c>
      <c r="B102" s="58">
        <f>B101+10000</f>
        <v>70000</v>
      </c>
      <c r="C102" s="58">
        <f>C101+2000</f>
        <v>15000</v>
      </c>
      <c r="D102" s="58">
        <f>D101+5000</f>
        <v>35000</v>
      </c>
      <c r="E102" s="58">
        <f t="shared" si="18"/>
        <v>35000</v>
      </c>
      <c r="F102" s="58">
        <f t="shared" si="19"/>
        <v>7000</v>
      </c>
      <c r="G102" s="58">
        <v>20000</v>
      </c>
      <c r="H102" s="58">
        <v>5000</v>
      </c>
      <c r="I102" s="58">
        <f t="shared" si="20"/>
        <v>3500</v>
      </c>
    </row>
    <row r="103" spans="1:9" x14ac:dyDescent="0.2">
      <c r="A103" s="58" t="s">
        <v>128</v>
      </c>
      <c r="B103" s="58">
        <v>30000</v>
      </c>
      <c r="C103" s="58">
        <v>5000</v>
      </c>
      <c r="D103" s="58">
        <v>10000</v>
      </c>
      <c r="E103" s="58">
        <f>B103*0.5</f>
        <v>15000</v>
      </c>
      <c r="F103" s="58">
        <f>B103*0.1</f>
        <v>3000</v>
      </c>
      <c r="G103" s="58">
        <v>20000</v>
      </c>
      <c r="H103" s="58">
        <v>5000</v>
      </c>
      <c r="I103" s="58">
        <f t="shared" si="20"/>
        <v>1500</v>
      </c>
    </row>
    <row r="104" spans="1:9" x14ac:dyDescent="0.2">
      <c r="A104" s="58" t="s">
        <v>129</v>
      </c>
      <c r="B104" s="58">
        <f>B103+10000</f>
        <v>40000</v>
      </c>
      <c r="C104" s="58">
        <f>C103+2000</f>
        <v>7000</v>
      </c>
      <c r="D104" s="58">
        <f>D103+5000</f>
        <v>15000</v>
      </c>
      <c r="E104" s="58">
        <f t="shared" si="18"/>
        <v>20000</v>
      </c>
      <c r="F104" s="58">
        <f t="shared" si="19"/>
        <v>4000</v>
      </c>
      <c r="G104" s="58">
        <v>20000</v>
      </c>
      <c r="H104" s="58">
        <v>5000</v>
      </c>
      <c r="I104" s="58">
        <f t="shared" si="20"/>
        <v>2000</v>
      </c>
    </row>
    <row r="105" spans="1:9" x14ac:dyDescent="0.2">
      <c r="A105" s="58" t="s">
        <v>130</v>
      </c>
      <c r="B105" s="58">
        <f>B104+10000</f>
        <v>50000</v>
      </c>
      <c r="C105" s="58">
        <f>C104+2000</f>
        <v>9000</v>
      </c>
      <c r="D105" s="58">
        <f>D104+5000</f>
        <v>20000</v>
      </c>
      <c r="E105" s="58">
        <f t="shared" si="18"/>
        <v>25000</v>
      </c>
      <c r="F105" s="58">
        <f t="shared" si="19"/>
        <v>5000</v>
      </c>
      <c r="G105" s="58">
        <v>20000</v>
      </c>
      <c r="H105" s="58">
        <v>5000</v>
      </c>
      <c r="I105" s="58">
        <f t="shared" si="20"/>
        <v>2500</v>
      </c>
    </row>
    <row r="106" spans="1:9" x14ac:dyDescent="0.2">
      <c r="A106" s="58" t="s">
        <v>131</v>
      </c>
      <c r="B106" s="58">
        <f>B105+10000</f>
        <v>60000</v>
      </c>
      <c r="C106" s="58">
        <f>C105+2000</f>
        <v>11000</v>
      </c>
      <c r="D106" s="58">
        <f>D105+5000</f>
        <v>25000</v>
      </c>
      <c r="E106" s="58">
        <f t="shared" si="18"/>
        <v>30000</v>
      </c>
      <c r="F106" s="58">
        <f t="shared" si="19"/>
        <v>6000</v>
      </c>
      <c r="G106" s="58">
        <v>20000</v>
      </c>
      <c r="H106" s="58">
        <v>5000</v>
      </c>
      <c r="I106" s="58">
        <f t="shared" si="20"/>
        <v>3000</v>
      </c>
    </row>
    <row r="107" spans="1:9" x14ac:dyDescent="0.2">
      <c r="A107" s="58" t="s">
        <v>132</v>
      </c>
      <c r="B107" s="58">
        <f>B106+10000</f>
        <v>70000</v>
      </c>
      <c r="C107" s="58">
        <f>C106+2000</f>
        <v>13000</v>
      </c>
      <c r="D107" s="58">
        <f>D106+5000</f>
        <v>30000</v>
      </c>
      <c r="E107" s="58">
        <f t="shared" si="18"/>
        <v>35000</v>
      </c>
      <c r="F107" s="58">
        <f t="shared" si="19"/>
        <v>7000</v>
      </c>
      <c r="G107" s="58">
        <v>20000</v>
      </c>
      <c r="H107" s="58">
        <v>5000</v>
      </c>
      <c r="I107" s="58">
        <f t="shared" si="20"/>
        <v>3500</v>
      </c>
    </row>
    <row r="108" spans="1:9" x14ac:dyDescent="0.2">
      <c r="A108" s="58" t="s">
        <v>133</v>
      </c>
      <c r="B108" s="58">
        <f>B107+10000</f>
        <v>80000</v>
      </c>
      <c r="C108" s="58">
        <f>C107+2000</f>
        <v>15000</v>
      </c>
      <c r="D108" s="58">
        <f>D107+5000</f>
        <v>35000</v>
      </c>
      <c r="E108" s="58">
        <f t="shared" si="18"/>
        <v>40000</v>
      </c>
      <c r="F108" s="58">
        <f t="shared" si="19"/>
        <v>8000</v>
      </c>
      <c r="G108" s="58">
        <v>20000</v>
      </c>
      <c r="H108" s="58">
        <v>5000</v>
      </c>
      <c r="I108" s="58">
        <f t="shared" si="20"/>
        <v>4000</v>
      </c>
    </row>
    <row r="109" spans="1:9" x14ac:dyDescent="0.2">
      <c r="A109" s="67" t="s">
        <v>120</v>
      </c>
      <c r="B109" s="68" t="s">
        <v>224</v>
      </c>
      <c r="C109" s="58"/>
      <c r="D109" s="58"/>
      <c r="E109" s="58"/>
      <c r="F109" s="58"/>
      <c r="G109" s="58"/>
      <c r="H109" s="58"/>
      <c r="I109" s="58"/>
    </row>
    <row r="110" spans="1:9" x14ac:dyDescent="0.2">
      <c r="A110" s="58"/>
      <c r="B110" s="58" t="s">
        <v>158</v>
      </c>
      <c r="C110" s="58" t="s">
        <v>213</v>
      </c>
      <c r="D110" s="58" t="s">
        <v>214</v>
      </c>
      <c r="E110" s="58" t="s">
        <v>215</v>
      </c>
      <c r="F110" s="58" t="s">
        <v>169</v>
      </c>
      <c r="G110" s="58" t="s">
        <v>216</v>
      </c>
      <c r="H110" s="58" t="s">
        <v>217</v>
      </c>
      <c r="I110" s="58" t="s">
        <v>218</v>
      </c>
    </row>
    <row r="111" spans="1:9" x14ac:dyDescent="0.2">
      <c r="A111" s="58" t="s">
        <v>122</v>
      </c>
      <c r="B111" s="58">
        <v>25000</v>
      </c>
      <c r="C111" s="58">
        <v>5000</v>
      </c>
      <c r="D111" s="58">
        <v>10000</v>
      </c>
      <c r="E111" s="58">
        <f t="shared" ref="E111:E116" si="21">B111*0.5</f>
        <v>12500</v>
      </c>
      <c r="F111" s="58">
        <f t="shared" ref="F111:F116" si="22">B111*0.1</f>
        <v>2500</v>
      </c>
      <c r="G111" s="58">
        <v>20000</v>
      </c>
      <c r="H111" s="58">
        <v>5000</v>
      </c>
      <c r="I111" s="58">
        <f>B111*0.05</f>
        <v>1250</v>
      </c>
    </row>
    <row r="112" spans="1:9" x14ac:dyDescent="0.2">
      <c r="A112" s="58" t="s">
        <v>123</v>
      </c>
      <c r="B112" s="58">
        <f t="shared" ref="B112:B122" si="23">B111+10000</f>
        <v>35000</v>
      </c>
      <c r="C112" s="58">
        <f>C111+2000</f>
        <v>7000</v>
      </c>
      <c r="D112" s="58">
        <f>D111+5000</f>
        <v>15000</v>
      </c>
      <c r="E112" s="58">
        <f t="shared" si="21"/>
        <v>17500</v>
      </c>
      <c r="F112" s="58">
        <f t="shared" si="22"/>
        <v>3500</v>
      </c>
      <c r="G112" s="58">
        <v>20000</v>
      </c>
      <c r="H112" s="58">
        <v>5000</v>
      </c>
      <c r="I112" s="58">
        <f t="shared" ref="I112:I122" si="24">B112*0.05</f>
        <v>1750</v>
      </c>
    </row>
    <row r="113" spans="1:9" x14ac:dyDescent="0.2">
      <c r="A113" s="58" t="s">
        <v>124</v>
      </c>
      <c r="B113" s="58">
        <f t="shared" si="23"/>
        <v>45000</v>
      </c>
      <c r="C113" s="58">
        <f>C112+2000</f>
        <v>9000</v>
      </c>
      <c r="D113" s="58">
        <f>D112+5000</f>
        <v>20000</v>
      </c>
      <c r="E113" s="58">
        <f t="shared" si="21"/>
        <v>22500</v>
      </c>
      <c r="F113" s="58">
        <f t="shared" si="22"/>
        <v>4500</v>
      </c>
      <c r="G113" s="58">
        <v>20000</v>
      </c>
      <c r="H113" s="58">
        <v>5000</v>
      </c>
      <c r="I113" s="58">
        <f t="shared" si="24"/>
        <v>2250</v>
      </c>
    </row>
    <row r="114" spans="1:9" x14ac:dyDescent="0.2">
      <c r="A114" s="58" t="s">
        <v>125</v>
      </c>
      <c r="B114" s="58">
        <f t="shared" si="23"/>
        <v>55000</v>
      </c>
      <c r="C114" s="58">
        <f>C113+2000</f>
        <v>11000</v>
      </c>
      <c r="D114" s="58">
        <f>D113+5000</f>
        <v>25000</v>
      </c>
      <c r="E114" s="58">
        <f t="shared" si="21"/>
        <v>27500</v>
      </c>
      <c r="F114" s="58">
        <f t="shared" si="22"/>
        <v>5500</v>
      </c>
      <c r="G114" s="58">
        <v>20000</v>
      </c>
      <c r="H114" s="58">
        <v>5000</v>
      </c>
      <c r="I114" s="58">
        <f t="shared" si="24"/>
        <v>2750</v>
      </c>
    </row>
    <row r="115" spans="1:9" x14ac:dyDescent="0.2">
      <c r="A115" s="58" t="s">
        <v>219</v>
      </c>
      <c r="B115" s="58">
        <f t="shared" si="23"/>
        <v>65000</v>
      </c>
      <c r="C115" s="58">
        <f>C114+2000</f>
        <v>13000</v>
      </c>
      <c r="D115" s="58">
        <f>D114+5000</f>
        <v>30000</v>
      </c>
      <c r="E115" s="58">
        <f t="shared" si="21"/>
        <v>32500</v>
      </c>
      <c r="F115" s="58">
        <f t="shared" si="22"/>
        <v>6500</v>
      </c>
      <c r="G115" s="58">
        <v>20000</v>
      </c>
      <c r="H115" s="58">
        <v>5000</v>
      </c>
      <c r="I115" s="58">
        <f t="shared" si="24"/>
        <v>3250</v>
      </c>
    </row>
    <row r="116" spans="1:9" x14ac:dyDescent="0.2">
      <c r="A116" s="58" t="s">
        <v>127</v>
      </c>
      <c r="B116" s="58">
        <f t="shared" si="23"/>
        <v>75000</v>
      </c>
      <c r="C116" s="58">
        <v>30000</v>
      </c>
      <c r="D116" s="58">
        <f>D115+5000</f>
        <v>35000</v>
      </c>
      <c r="E116" s="58">
        <f t="shared" si="21"/>
        <v>37500</v>
      </c>
      <c r="F116" s="58">
        <f t="shared" si="22"/>
        <v>7500</v>
      </c>
      <c r="G116" s="58">
        <v>20000</v>
      </c>
      <c r="H116" s="58">
        <v>5000</v>
      </c>
      <c r="I116" s="58">
        <f t="shared" si="24"/>
        <v>3750</v>
      </c>
    </row>
    <row r="117" spans="1:9" x14ac:dyDescent="0.2">
      <c r="A117" s="58" t="s">
        <v>128</v>
      </c>
      <c r="B117" s="58">
        <f t="shared" si="23"/>
        <v>85000</v>
      </c>
      <c r="C117" s="58">
        <v>10000</v>
      </c>
      <c r="D117" s="58">
        <v>20000</v>
      </c>
      <c r="E117" s="58">
        <v>50000</v>
      </c>
      <c r="F117" s="58">
        <v>10000</v>
      </c>
      <c r="G117" s="58">
        <v>20000</v>
      </c>
      <c r="H117" s="58">
        <v>5000</v>
      </c>
      <c r="I117" s="58">
        <f t="shared" si="24"/>
        <v>4250</v>
      </c>
    </row>
    <row r="118" spans="1:9" x14ac:dyDescent="0.2">
      <c r="A118" s="58" t="s">
        <v>129</v>
      </c>
      <c r="B118" s="58">
        <f t="shared" si="23"/>
        <v>95000</v>
      </c>
      <c r="C118" s="58">
        <f>C117+2000</f>
        <v>12000</v>
      </c>
      <c r="D118" s="58">
        <f>D117+5000</f>
        <v>25000</v>
      </c>
      <c r="E118" s="58">
        <f>B118*0.5</f>
        <v>47500</v>
      </c>
      <c r="F118" s="58">
        <f>B118*0.1</f>
        <v>9500</v>
      </c>
      <c r="G118" s="58">
        <v>20000</v>
      </c>
      <c r="H118" s="58">
        <v>5000</v>
      </c>
      <c r="I118" s="58">
        <f t="shared" si="24"/>
        <v>4750</v>
      </c>
    </row>
    <row r="119" spans="1:9" x14ac:dyDescent="0.2">
      <c r="A119" s="58" t="s">
        <v>130</v>
      </c>
      <c r="B119" s="58">
        <f t="shared" si="23"/>
        <v>105000</v>
      </c>
      <c r="C119" s="58">
        <f>C118+2000</f>
        <v>14000</v>
      </c>
      <c r="D119" s="58">
        <f>D118+5000</f>
        <v>30000</v>
      </c>
      <c r="E119" s="58">
        <f>B119*0.5</f>
        <v>52500</v>
      </c>
      <c r="F119" s="58">
        <f>B119*0.1</f>
        <v>10500</v>
      </c>
      <c r="G119" s="58">
        <v>20000</v>
      </c>
      <c r="H119" s="58">
        <v>5000</v>
      </c>
      <c r="I119" s="58">
        <f t="shared" si="24"/>
        <v>5250</v>
      </c>
    </row>
    <row r="120" spans="1:9" x14ac:dyDescent="0.2">
      <c r="A120" s="58" t="s">
        <v>131</v>
      </c>
      <c r="B120" s="58">
        <f t="shared" si="23"/>
        <v>115000</v>
      </c>
      <c r="C120" s="58">
        <f>C119+2000</f>
        <v>16000</v>
      </c>
      <c r="D120" s="58">
        <f>D119+5000</f>
        <v>35000</v>
      </c>
      <c r="E120" s="58">
        <f>B120*0.5</f>
        <v>57500</v>
      </c>
      <c r="F120" s="58">
        <f>B120*0.1</f>
        <v>11500</v>
      </c>
      <c r="G120" s="58">
        <v>20000</v>
      </c>
      <c r="H120" s="58">
        <v>5000</v>
      </c>
      <c r="I120" s="58">
        <f t="shared" si="24"/>
        <v>5750</v>
      </c>
    </row>
    <row r="121" spans="1:9" x14ac:dyDescent="0.2">
      <c r="A121" s="58" t="s">
        <v>132</v>
      </c>
      <c r="B121" s="58">
        <f t="shared" si="23"/>
        <v>125000</v>
      </c>
      <c r="C121" s="58">
        <v>30000</v>
      </c>
      <c r="D121" s="58">
        <f>D120+5000</f>
        <v>40000</v>
      </c>
      <c r="E121" s="58">
        <f>B121*0.5</f>
        <v>62500</v>
      </c>
      <c r="F121" s="58">
        <f>B121*0.1</f>
        <v>12500</v>
      </c>
      <c r="G121" s="58">
        <v>20000</v>
      </c>
      <c r="H121" s="58">
        <v>5000</v>
      </c>
      <c r="I121" s="58">
        <f t="shared" si="24"/>
        <v>6250</v>
      </c>
    </row>
    <row r="122" spans="1:9" x14ac:dyDescent="0.2">
      <c r="A122" s="58" t="s">
        <v>133</v>
      </c>
      <c r="B122" s="58">
        <f t="shared" si="23"/>
        <v>135000</v>
      </c>
      <c r="C122" s="58">
        <v>10000</v>
      </c>
      <c r="D122" s="58">
        <v>20000</v>
      </c>
      <c r="E122" s="58">
        <v>50000</v>
      </c>
      <c r="F122" s="58">
        <v>10000</v>
      </c>
      <c r="G122" s="58">
        <v>20000</v>
      </c>
      <c r="H122" s="58">
        <v>5000</v>
      </c>
      <c r="I122" s="58">
        <f t="shared" si="24"/>
        <v>6750</v>
      </c>
    </row>
  </sheetData>
  <mergeCells count="7">
    <mergeCell ref="N32:O32"/>
    <mergeCell ref="N7:O7"/>
    <mergeCell ref="P7:Q7"/>
    <mergeCell ref="R7:S7"/>
    <mergeCell ref="N20:O20"/>
    <mergeCell ref="P20:Q20"/>
    <mergeCell ref="R20:S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workbookViewId="0">
      <selection activeCell="AD23" sqref="AD23"/>
    </sheetView>
  </sheetViews>
  <sheetFormatPr defaultRowHeight="12.75" x14ac:dyDescent="0.2"/>
  <cols>
    <col min="1" max="1" width="15.85546875" style="52" customWidth="1"/>
    <col min="2" max="4" width="3" style="52" bestFit="1" customWidth="1"/>
    <col min="5" max="5" width="5.5703125" style="52" bestFit="1" customWidth="1"/>
    <col min="6" max="6" width="4" style="52" bestFit="1" customWidth="1"/>
    <col min="7" max="7" width="5.5703125" style="52" bestFit="1" customWidth="1"/>
    <col min="8" max="25" width="4" style="52" bestFit="1" customWidth="1"/>
    <col min="26" max="26" width="8.5703125" style="52" bestFit="1" customWidth="1"/>
    <col min="27" max="27" width="9.140625" style="52"/>
    <col min="28" max="28" width="10.85546875" style="52" bestFit="1" customWidth="1"/>
    <col min="29" max="29" width="14.85546875" style="52" customWidth="1"/>
    <col min="30" max="30" width="15" style="52" bestFit="1" customWidth="1"/>
    <col min="31" max="16384" width="9.140625" style="52"/>
  </cols>
  <sheetData>
    <row r="1" spans="1:31" x14ac:dyDescent="0.2">
      <c r="A1" s="69" t="s">
        <v>225</v>
      </c>
      <c r="B1" s="106" t="s">
        <v>279</v>
      </c>
      <c r="C1" s="106"/>
      <c r="D1" s="106"/>
      <c r="E1" s="106"/>
      <c r="F1" s="106"/>
      <c r="G1" s="106"/>
      <c r="H1" s="106"/>
      <c r="I1" s="106"/>
      <c r="J1" s="106"/>
      <c r="K1" s="106"/>
      <c r="L1" s="106"/>
      <c r="M1" s="106"/>
      <c r="N1" s="106"/>
      <c r="O1" s="106"/>
      <c r="P1" s="106"/>
      <c r="Q1" s="106"/>
      <c r="R1" s="106"/>
      <c r="S1" s="106"/>
      <c r="T1" s="106"/>
      <c r="U1" s="106"/>
      <c r="V1" s="106"/>
      <c r="W1" s="106"/>
      <c r="X1" s="106"/>
      <c r="Y1" s="106"/>
      <c r="Z1" s="70" t="s">
        <v>226</v>
      </c>
    </row>
    <row r="2" spans="1:31" x14ac:dyDescent="0.2">
      <c r="A2" s="71" t="s">
        <v>227</v>
      </c>
      <c r="B2" s="133" t="s">
        <v>122</v>
      </c>
      <c r="C2" s="133"/>
      <c r="D2" s="133"/>
      <c r="E2" s="133"/>
      <c r="F2" s="133" t="s">
        <v>123</v>
      </c>
      <c r="G2" s="133"/>
      <c r="H2" s="133"/>
      <c r="I2" s="133"/>
      <c r="J2" s="133" t="s">
        <v>124</v>
      </c>
      <c r="K2" s="133"/>
      <c r="L2" s="133"/>
      <c r="M2" s="133"/>
      <c r="N2" s="133" t="s">
        <v>125</v>
      </c>
      <c r="O2" s="133"/>
      <c r="P2" s="133"/>
      <c r="Q2" s="133"/>
      <c r="R2" s="133" t="s">
        <v>126</v>
      </c>
      <c r="S2" s="133"/>
      <c r="T2" s="133"/>
      <c r="U2" s="133"/>
      <c r="V2" s="133" t="s">
        <v>228</v>
      </c>
      <c r="W2" s="133"/>
      <c r="X2" s="133"/>
      <c r="Y2" s="133"/>
      <c r="AC2" s="69" t="s">
        <v>225</v>
      </c>
      <c r="AD2" s="69" t="s">
        <v>239</v>
      </c>
    </row>
    <row r="3" spans="1:31" x14ac:dyDescent="0.2">
      <c r="B3" s="134">
        <v>1</v>
      </c>
      <c r="C3" s="134">
        <v>2</v>
      </c>
      <c r="D3" s="134">
        <v>3</v>
      </c>
      <c r="E3" s="134">
        <v>4</v>
      </c>
      <c r="F3" s="135">
        <v>5</v>
      </c>
      <c r="G3" s="135">
        <v>6</v>
      </c>
      <c r="H3" s="135">
        <v>7</v>
      </c>
      <c r="I3" s="135">
        <v>8</v>
      </c>
      <c r="J3" s="134">
        <v>9</v>
      </c>
      <c r="K3" s="134">
        <v>10</v>
      </c>
      <c r="L3" s="134">
        <v>11</v>
      </c>
      <c r="M3" s="134">
        <v>12</v>
      </c>
      <c r="N3" s="135">
        <v>13</v>
      </c>
      <c r="O3" s="135">
        <v>14</v>
      </c>
      <c r="P3" s="135">
        <v>15</v>
      </c>
      <c r="Q3" s="135">
        <v>16</v>
      </c>
      <c r="R3" s="134">
        <v>17</v>
      </c>
      <c r="S3" s="134">
        <v>18</v>
      </c>
      <c r="T3" s="134">
        <v>19</v>
      </c>
      <c r="U3" s="134">
        <v>20</v>
      </c>
      <c r="V3" s="135">
        <v>21</v>
      </c>
      <c r="W3" s="135">
        <v>22</v>
      </c>
      <c r="X3" s="135">
        <v>23</v>
      </c>
      <c r="Y3" s="135">
        <v>24</v>
      </c>
      <c r="Z3" s="38" t="s">
        <v>108</v>
      </c>
      <c r="AC3" s="71" t="s">
        <v>227</v>
      </c>
      <c r="AD3" s="71" t="s">
        <v>240</v>
      </c>
    </row>
    <row r="4" spans="1:31" x14ac:dyDescent="0.2">
      <c r="A4" s="38" t="s">
        <v>229</v>
      </c>
      <c r="B4" s="58">
        <v>1</v>
      </c>
      <c r="C4" s="58">
        <v>3</v>
      </c>
      <c r="D4" s="58">
        <v>5</v>
      </c>
      <c r="E4" s="58">
        <v>7</v>
      </c>
      <c r="F4" s="58">
        <v>9</v>
      </c>
      <c r="G4" s="58">
        <v>11</v>
      </c>
      <c r="H4" s="58">
        <v>13</v>
      </c>
      <c r="I4" s="58">
        <v>15</v>
      </c>
      <c r="J4" s="58">
        <v>17</v>
      </c>
      <c r="K4" s="58">
        <v>19</v>
      </c>
      <c r="L4" s="58">
        <v>25</v>
      </c>
      <c r="M4" s="58">
        <v>23</v>
      </c>
      <c r="N4" s="58">
        <v>23</v>
      </c>
      <c r="O4" s="58">
        <v>27</v>
      </c>
      <c r="P4" s="58">
        <v>29</v>
      </c>
      <c r="Q4" s="58">
        <v>31</v>
      </c>
      <c r="R4" s="58">
        <v>33</v>
      </c>
      <c r="S4" s="58">
        <v>35</v>
      </c>
      <c r="T4" s="58">
        <v>37</v>
      </c>
      <c r="U4" s="58">
        <v>39</v>
      </c>
      <c r="V4" s="58">
        <v>41</v>
      </c>
      <c r="W4" s="58">
        <v>43</v>
      </c>
      <c r="X4" s="58">
        <v>45</v>
      </c>
      <c r="Y4" s="58">
        <v>47</v>
      </c>
      <c r="Z4" s="72"/>
      <c r="AB4" s="97" t="s">
        <v>229</v>
      </c>
      <c r="AC4" s="73"/>
      <c r="AD4" s="73"/>
    </row>
    <row r="5" spans="1:31" x14ac:dyDescent="0.2">
      <c r="A5" s="38" t="s">
        <v>230</v>
      </c>
      <c r="B5" s="58">
        <v>2</v>
      </c>
      <c r="C5" s="58">
        <v>4</v>
      </c>
      <c r="D5" s="58">
        <v>6</v>
      </c>
      <c r="E5" s="58">
        <v>8</v>
      </c>
      <c r="F5" s="58">
        <v>10</v>
      </c>
      <c r="G5" s="58">
        <v>12</v>
      </c>
      <c r="H5" s="58">
        <v>14</v>
      </c>
      <c r="I5" s="58">
        <v>16</v>
      </c>
      <c r="J5" s="58">
        <v>18</v>
      </c>
      <c r="K5" s="58">
        <v>13</v>
      </c>
      <c r="L5" s="58">
        <v>22</v>
      </c>
      <c r="M5" s="58">
        <v>24</v>
      </c>
      <c r="N5" s="58">
        <v>26</v>
      </c>
      <c r="O5" s="58">
        <v>28</v>
      </c>
      <c r="P5" s="58">
        <v>30</v>
      </c>
      <c r="Q5" s="58">
        <v>32</v>
      </c>
      <c r="R5" s="58">
        <v>34</v>
      </c>
      <c r="S5" s="58">
        <v>36</v>
      </c>
      <c r="T5" s="58">
        <v>38</v>
      </c>
      <c r="U5" s="58">
        <v>40</v>
      </c>
      <c r="V5" s="58">
        <v>42</v>
      </c>
      <c r="W5" s="58">
        <v>44</v>
      </c>
      <c r="X5" s="58">
        <v>46</v>
      </c>
      <c r="Y5" s="58">
        <v>48</v>
      </c>
      <c r="Z5" s="72"/>
      <c r="AB5" s="97" t="s">
        <v>230</v>
      </c>
      <c r="AC5" s="73"/>
      <c r="AD5" s="73"/>
    </row>
    <row r="6" spans="1:31" x14ac:dyDescent="0.2">
      <c r="A6" s="38" t="s">
        <v>231</v>
      </c>
      <c r="B6" s="58">
        <v>3</v>
      </c>
      <c r="C6" s="58">
        <v>5</v>
      </c>
      <c r="D6" s="58">
        <v>7</v>
      </c>
      <c r="E6" s="58">
        <v>9</v>
      </c>
      <c r="F6" s="58">
        <v>11</v>
      </c>
      <c r="G6" s="58">
        <v>11</v>
      </c>
      <c r="H6" s="58">
        <v>15</v>
      </c>
      <c r="I6" s="58">
        <v>17</v>
      </c>
      <c r="J6" s="58">
        <v>19</v>
      </c>
      <c r="K6" s="58">
        <v>21</v>
      </c>
      <c r="L6" s="58">
        <v>23</v>
      </c>
      <c r="M6" s="58">
        <v>25</v>
      </c>
      <c r="N6" s="58">
        <v>27</v>
      </c>
      <c r="O6" s="58">
        <v>29</v>
      </c>
      <c r="P6" s="58">
        <v>12</v>
      </c>
      <c r="Q6" s="58">
        <v>33</v>
      </c>
      <c r="R6" s="58">
        <v>35</v>
      </c>
      <c r="S6" s="58">
        <v>37</v>
      </c>
      <c r="T6" s="58">
        <v>39</v>
      </c>
      <c r="U6" s="58">
        <v>41</v>
      </c>
      <c r="V6" s="58">
        <v>43</v>
      </c>
      <c r="W6" s="58">
        <v>45</v>
      </c>
      <c r="X6" s="58">
        <v>47</v>
      </c>
      <c r="Y6" s="58">
        <v>49</v>
      </c>
      <c r="Z6" s="72"/>
      <c r="AB6" s="97" t="s">
        <v>231</v>
      </c>
      <c r="AC6" s="73"/>
      <c r="AD6" s="73"/>
    </row>
    <row r="7" spans="1:31" x14ac:dyDescent="0.2">
      <c r="A7" s="38" t="s">
        <v>232</v>
      </c>
      <c r="B7" s="58">
        <v>4</v>
      </c>
      <c r="C7" s="58">
        <v>7</v>
      </c>
      <c r="D7" s="58">
        <v>10</v>
      </c>
      <c r="E7" s="58">
        <v>13</v>
      </c>
      <c r="F7" s="58">
        <v>16</v>
      </c>
      <c r="G7" s="58">
        <v>19</v>
      </c>
      <c r="H7" s="58">
        <v>22</v>
      </c>
      <c r="I7" s="58">
        <v>25</v>
      </c>
      <c r="J7" s="58">
        <v>28</v>
      </c>
      <c r="K7" s="58">
        <v>31</v>
      </c>
      <c r="L7" s="58">
        <v>34</v>
      </c>
      <c r="M7" s="58">
        <v>37</v>
      </c>
      <c r="N7" s="58">
        <v>40</v>
      </c>
      <c r="O7" s="58">
        <v>43</v>
      </c>
      <c r="P7" s="58">
        <v>46</v>
      </c>
      <c r="Q7" s="58">
        <v>49</v>
      </c>
      <c r="R7" s="58">
        <v>52</v>
      </c>
      <c r="S7" s="58">
        <v>55</v>
      </c>
      <c r="T7" s="58">
        <v>58</v>
      </c>
      <c r="U7" s="58">
        <v>61</v>
      </c>
      <c r="V7" s="58">
        <v>64</v>
      </c>
      <c r="W7" s="58">
        <v>67</v>
      </c>
      <c r="X7" s="58">
        <v>70</v>
      </c>
      <c r="Y7" s="58">
        <v>73</v>
      </c>
      <c r="Z7" s="72"/>
      <c r="AB7" s="97" t="s">
        <v>232</v>
      </c>
      <c r="AC7" s="73"/>
      <c r="AD7" s="73"/>
    </row>
    <row r="8" spans="1:31" x14ac:dyDescent="0.2">
      <c r="A8" s="38" t="s">
        <v>233</v>
      </c>
      <c r="B8" s="58">
        <v>5</v>
      </c>
      <c r="C8" s="58">
        <v>6</v>
      </c>
      <c r="D8" s="58">
        <v>7</v>
      </c>
      <c r="E8" s="58">
        <v>8</v>
      </c>
      <c r="F8" s="58">
        <v>8</v>
      </c>
      <c r="G8" s="58">
        <v>10</v>
      </c>
      <c r="H8" s="58">
        <v>11</v>
      </c>
      <c r="I8" s="58">
        <v>12</v>
      </c>
      <c r="J8" s="58">
        <v>13</v>
      </c>
      <c r="K8" s="58">
        <v>14</v>
      </c>
      <c r="L8" s="58">
        <v>15</v>
      </c>
      <c r="M8" s="58">
        <v>16</v>
      </c>
      <c r="N8" s="58">
        <v>17</v>
      </c>
      <c r="O8" s="58">
        <v>18</v>
      </c>
      <c r="P8" s="58">
        <v>19</v>
      </c>
      <c r="Q8" s="58">
        <v>10</v>
      </c>
      <c r="R8" s="58">
        <v>21</v>
      </c>
      <c r="S8" s="58">
        <v>22</v>
      </c>
      <c r="T8" s="58">
        <v>23</v>
      </c>
      <c r="U8" s="58">
        <v>24</v>
      </c>
      <c r="V8" s="58">
        <v>25</v>
      </c>
      <c r="W8" s="58">
        <v>26</v>
      </c>
      <c r="X8" s="58">
        <v>27</v>
      </c>
      <c r="Y8" s="58">
        <v>28</v>
      </c>
      <c r="Z8" s="72"/>
      <c r="AB8" s="97" t="s">
        <v>233</v>
      </c>
      <c r="AC8" s="73"/>
      <c r="AD8" s="73"/>
    </row>
    <row r="9" spans="1:31" x14ac:dyDescent="0.2">
      <c r="A9" s="38" t="s">
        <v>234</v>
      </c>
      <c r="B9" s="58">
        <v>6</v>
      </c>
      <c r="C9" s="58">
        <v>9</v>
      </c>
      <c r="D9" s="58">
        <v>12</v>
      </c>
      <c r="E9" s="58">
        <v>6</v>
      </c>
      <c r="F9" s="58">
        <v>18</v>
      </c>
      <c r="G9" s="58">
        <v>21</v>
      </c>
      <c r="H9" s="58">
        <v>24</v>
      </c>
      <c r="I9" s="58">
        <v>27</v>
      </c>
      <c r="J9" s="58">
        <v>30</v>
      </c>
      <c r="K9" s="58">
        <v>33</v>
      </c>
      <c r="L9" s="58">
        <v>36</v>
      </c>
      <c r="M9" s="58">
        <v>39</v>
      </c>
      <c r="N9" s="58">
        <v>42</v>
      </c>
      <c r="O9" s="58">
        <v>45</v>
      </c>
      <c r="P9" s="58">
        <v>48</v>
      </c>
      <c r="Q9" s="58">
        <v>51</v>
      </c>
      <c r="R9" s="58">
        <v>33</v>
      </c>
      <c r="S9" s="58">
        <v>44</v>
      </c>
      <c r="T9" s="58">
        <v>60</v>
      </c>
      <c r="U9" s="58">
        <v>63</v>
      </c>
      <c r="V9" s="58">
        <v>66</v>
      </c>
      <c r="W9" s="58">
        <v>69</v>
      </c>
      <c r="X9" s="58">
        <v>72</v>
      </c>
      <c r="Y9" s="58">
        <v>75</v>
      </c>
      <c r="Z9" s="72"/>
      <c r="AB9" s="97" t="s">
        <v>234</v>
      </c>
      <c r="AC9" s="73"/>
      <c r="AD9" s="73"/>
    </row>
    <row r="10" spans="1:31" x14ac:dyDescent="0.2">
      <c r="A10" s="38" t="s">
        <v>235</v>
      </c>
      <c r="B10" s="58">
        <v>7</v>
      </c>
      <c r="C10" s="58">
        <v>2</v>
      </c>
      <c r="D10" s="58">
        <v>13</v>
      </c>
      <c r="E10" s="58">
        <v>16</v>
      </c>
      <c r="F10" s="58">
        <v>19</v>
      </c>
      <c r="G10" s="58">
        <v>22</v>
      </c>
      <c r="H10" s="58">
        <v>25</v>
      </c>
      <c r="I10" s="58">
        <v>28</v>
      </c>
      <c r="J10" s="58">
        <v>31</v>
      </c>
      <c r="K10" s="58">
        <v>34</v>
      </c>
      <c r="L10" s="58">
        <v>37</v>
      </c>
      <c r="M10" s="58">
        <v>40</v>
      </c>
      <c r="N10" s="58">
        <v>43</v>
      </c>
      <c r="O10" s="58">
        <v>46</v>
      </c>
      <c r="P10" s="58">
        <v>49</v>
      </c>
      <c r="Q10" s="58">
        <v>52</v>
      </c>
      <c r="R10" s="58">
        <v>55</v>
      </c>
      <c r="S10" s="58">
        <v>58</v>
      </c>
      <c r="T10" s="58">
        <v>25</v>
      </c>
      <c r="U10" s="58">
        <v>64</v>
      </c>
      <c r="V10" s="58">
        <v>67</v>
      </c>
      <c r="W10" s="58">
        <v>70</v>
      </c>
      <c r="X10" s="58">
        <v>73</v>
      </c>
      <c r="Y10" s="58">
        <v>76</v>
      </c>
      <c r="Z10" s="72"/>
      <c r="AB10" s="97" t="s">
        <v>235</v>
      </c>
      <c r="AC10" s="73"/>
      <c r="AD10" s="73"/>
    </row>
    <row r="11" spans="1:31" x14ac:dyDescent="0.2">
      <c r="A11" s="38" t="s">
        <v>236</v>
      </c>
      <c r="B11" s="58">
        <v>8</v>
      </c>
      <c r="C11" s="58">
        <v>9</v>
      </c>
      <c r="D11" s="58">
        <v>10</v>
      </c>
      <c r="E11" s="58">
        <v>11</v>
      </c>
      <c r="F11" s="58">
        <v>12</v>
      </c>
      <c r="G11" s="58">
        <v>13</v>
      </c>
      <c r="H11" s="58">
        <v>14</v>
      </c>
      <c r="I11" s="58">
        <v>15</v>
      </c>
      <c r="J11" s="58">
        <v>16</v>
      </c>
      <c r="K11" s="58">
        <v>17</v>
      </c>
      <c r="L11" s="58">
        <v>18</v>
      </c>
      <c r="M11" s="58">
        <v>19</v>
      </c>
      <c r="N11" s="58">
        <v>20</v>
      </c>
      <c r="O11" s="58">
        <v>21</v>
      </c>
      <c r="P11" s="58">
        <v>22</v>
      </c>
      <c r="Q11" s="58">
        <v>23</v>
      </c>
      <c r="R11" s="58">
        <v>24</v>
      </c>
      <c r="S11" s="58">
        <v>25</v>
      </c>
      <c r="T11" s="58">
        <v>26</v>
      </c>
      <c r="U11" s="58">
        <v>32</v>
      </c>
      <c r="V11" s="58">
        <v>28</v>
      </c>
      <c r="W11" s="58">
        <v>29</v>
      </c>
      <c r="X11" s="58">
        <v>30</v>
      </c>
      <c r="Y11" s="58">
        <v>31</v>
      </c>
      <c r="Z11" s="72"/>
      <c r="AB11" s="97" t="s">
        <v>236</v>
      </c>
      <c r="AC11" s="73"/>
      <c r="AD11" s="73"/>
    </row>
    <row r="12" spans="1:31" x14ac:dyDescent="0.2">
      <c r="A12" s="38" t="s">
        <v>237</v>
      </c>
      <c r="B12" s="58">
        <v>9</v>
      </c>
      <c r="C12" s="58">
        <v>12</v>
      </c>
      <c r="D12" s="58">
        <v>15</v>
      </c>
      <c r="E12" s="58">
        <v>18</v>
      </c>
      <c r="F12" s="58">
        <v>21</v>
      </c>
      <c r="G12" s="58">
        <v>24</v>
      </c>
      <c r="H12" s="58">
        <v>27</v>
      </c>
      <c r="I12" s="58">
        <v>30</v>
      </c>
      <c r="J12" s="58">
        <v>33</v>
      </c>
      <c r="K12" s="58">
        <v>36</v>
      </c>
      <c r="L12" s="58">
        <v>39</v>
      </c>
      <c r="M12" s="58">
        <v>42</v>
      </c>
      <c r="N12" s="58">
        <v>45</v>
      </c>
      <c r="O12" s="58">
        <v>48</v>
      </c>
      <c r="P12" s="58">
        <v>51</v>
      </c>
      <c r="Q12" s="58">
        <v>54</v>
      </c>
      <c r="R12" s="58">
        <v>57</v>
      </c>
      <c r="S12" s="58">
        <v>60</v>
      </c>
      <c r="T12" s="58">
        <v>63</v>
      </c>
      <c r="U12" s="58">
        <v>66</v>
      </c>
      <c r="V12" s="58">
        <v>36</v>
      </c>
      <c r="W12" s="58">
        <v>72</v>
      </c>
      <c r="X12" s="58">
        <v>75</v>
      </c>
      <c r="Y12" s="58">
        <v>78</v>
      </c>
      <c r="Z12" s="72"/>
      <c r="AB12" s="97" t="s">
        <v>237</v>
      </c>
      <c r="AC12" s="73"/>
      <c r="AD12" s="73"/>
    </row>
    <row r="13" spans="1:31" x14ac:dyDescent="0.2">
      <c r="A13" s="38" t="s">
        <v>238</v>
      </c>
      <c r="B13" s="58">
        <v>10</v>
      </c>
      <c r="C13" s="58">
        <v>11</v>
      </c>
      <c r="D13" s="58">
        <v>12</v>
      </c>
      <c r="E13" s="58">
        <v>13</v>
      </c>
      <c r="F13" s="58">
        <v>14</v>
      </c>
      <c r="G13" s="58">
        <v>15</v>
      </c>
      <c r="H13" s="58">
        <v>16</v>
      </c>
      <c r="I13" s="58">
        <v>17</v>
      </c>
      <c r="J13" s="58">
        <v>18</v>
      </c>
      <c r="K13" s="58">
        <v>19</v>
      </c>
      <c r="L13" s="58">
        <v>20</v>
      </c>
      <c r="M13" s="58">
        <v>21</v>
      </c>
      <c r="N13" s="58">
        <v>22</v>
      </c>
      <c r="O13" s="58">
        <v>23</v>
      </c>
      <c r="P13" s="58">
        <v>24</v>
      </c>
      <c r="Q13" s="58">
        <v>25</v>
      </c>
      <c r="R13" s="58">
        <v>26</v>
      </c>
      <c r="S13" s="58">
        <v>27</v>
      </c>
      <c r="T13" s="58">
        <v>28</v>
      </c>
      <c r="U13" s="58">
        <v>29</v>
      </c>
      <c r="V13" s="58">
        <v>30</v>
      </c>
      <c r="W13" s="58">
        <v>27</v>
      </c>
      <c r="X13" s="58">
        <v>26</v>
      </c>
      <c r="Y13" s="58">
        <v>33</v>
      </c>
      <c r="Z13" s="72"/>
      <c r="AB13" s="97" t="s">
        <v>238</v>
      </c>
      <c r="AC13" s="73"/>
      <c r="AD13" s="73"/>
    </row>
    <row r="14" spans="1:31" x14ac:dyDescent="0.2">
      <c r="A14" s="38" t="s">
        <v>108</v>
      </c>
      <c r="B14" s="138"/>
      <c r="C14" s="138"/>
      <c r="D14" s="138"/>
      <c r="E14" s="139"/>
      <c r="F14" s="138"/>
      <c r="G14" s="138"/>
      <c r="H14" s="138"/>
      <c r="I14" s="138"/>
      <c r="J14" s="138"/>
      <c r="K14" s="138"/>
      <c r="L14" s="138"/>
      <c r="M14" s="138"/>
      <c r="N14" s="138"/>
      <c r="O14" s="138"/>
      <c r="P14" s="138"/>
      <c r="Q14" s="138"/>
      <c r="R14" s="138"/>
      <c r="S14" s="138"/>
      <c r="T14" s="138"/>
      <c r="U14" s="138"/>
      <c r="V14" s="138"/>
      <c r="W14" s="138"/>
      <c r="X14" s="138"/>
      <c r="Y14" s="138"/>
      <c r="Z14" s="72"/>
      <c r="AB14" s="97" t="s">
        <v>108</v>
      </c>
      <c r="AC14" s="73"/>
      <c r="AD14" s="73"/>
      <c r="AE14" s="141"/>
    </row>
    <row r="17" spans="1:29" x14ac:dyDescent="0.2">
      <c r="A17" s="69" t="s">
        <v>239</v>
      </c>
      <c r="B17" s="106" t="s">
        <v>279</v>
      </c>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70" t="s">
        <v>226</v>
      </c>
    </row>
    <row r="18" spans="1:29" x14ac:dyDescent="0.2">
      <c r="A18" s="71" t="s">
        <v>240</v>
      </c>
      <c r="B18" s="133" t="s">
        <v>122</v>
      </c>
      <c r="C18" s="133"/>
      <c r="D18" s="133"/>
      <c r="E18" s="133"/>
      <c r="F18" s="133" t="s">
        <v>123</v>
      </c>
      <c r="G18" s="133"/>
      <c r="H18" s="133"/>
      <c r="I18" s="133"/>
      <c r="J18" s="133" t="s">
        <v>124</v>
      </c>
      <c r="K18" s="133"/>
      <c r="L18" s="133"/>
      <c r="M18" s="133"/>
      <c r="N18" s="133" t="s">
        <v>125</v>
      </c>
      <c r="O18" s="133"/>
      <c r="P18" s="133"/>
      <c r="Q18" s="133"/>
      <c r="R18" s="133" t="s">
        <v>126</v>
      </c>
      <c r="S18" s="133"/>
      <c r="T18" s="133"/>
      <c r="U18" s="133"/>
      <c r="V18" s="133" t="s">
        <v>228</v>
      </c>
      <c r="W18" s="133"/>
      <c r="X18" s="133"/>
      <c r="Y18" s="133"/>
    </row>
    <row r="19" spans="1:29" x14ac:dyDescent="0.2">
      <c r="B19" s="140">
        <v>1</v>
      </c>
      <c r="C19" s="140">
        <v>2</v>
      </c>
      <c r="D19" s="140">
        <v>3</v>
      </c>
      <c r="E19" s="140">
        <v>4</v>
      </c>
      <c r="F19" s="140">
        <v>5</v>
      </c>
      <c r="G19" s="140">
        <v>6</v>
      </c>
      <c r="H19" s="140">
        <v>7</v>
      </c>
      <c r="I19" s="140">
        <v>8</v>
      </c>
      <c r="J19" s="140">
        <v>9</v>
      </c>
      <c r="K19" s="140">
        <v>10</v>
      </c>
      <c r="L19" s="140">
        <v>11</v>
      </c>
      <c r="M19" s="140">
        <v>12</v>
      </c>
      <c r="N19" s="140">
        <v>13</v>
      </c>
      <c r="O19" s="140">
        <v>14</v>
      </c>
      <c r="P19" s="140">
        <v>15</v>
      </c>
      <c r="Q19" s="140">
        <v>16</v>
      </c>
      <c r="R19" s="140">
        <v>17</v>
      </c>
      <c r="S19" s="140">
        <v>18</v>
      </c>
      <c r="T19" s="140">
        <v>19</v>
      </c>
      <c r="U19" s="140">
        <v>20</v>
      </c>
      <c r="V19" s="140">
        <v>21</v>
      </c>
      <c r="W19" s="140">
        <v>22</v>
      </c>
      <c r="X19" s="140">
        <v>23</v>
      </c>
      <c r="Y19" s="140">
        <v>24</v>
      </c>
      <c r="Z19" s="38" t="s">
        <v>108</v>
      </c>
    </row>
    <row r="20" spans="1:29" x14ac:dyDescent="0.2">
      <c r="A20" s="38" t="s">
        <v>229</v>
      </c>
      <c r="B20" s="58">
        <v>1</v>
      </c>
      <c r="C20" s="58">
        <v>3</v>
      </c>
      <c r="D20" s="58">
        <v>5</v>
      </c>
      <c r="E20" s="58">
        <v>7</v>
      </c>
      <c r="F20" s="58">
        <v>9</v>
      </c>
      <c r="G20" s="58">
        <v>11</v>
      </c>
      <c r="H20" s="58">
        <v>13</v>
      </c>
      <c r="I20" s="58">
        <v>15</v>
      </c>
      <c r="J20" s="58">
        <v>17</v>
      </c>
      <c r="K20" s="58">
        <v>19</v>
      </c>
      <c r="L20" s="58">
        <v>21</v>
      </c>
      <c r="M20" s="58">
        <v>23</v>
      </c>
      <c r="N20" s="58">
        <v>25</v>
      </c>
      <c r="O20" s="58">
        <v>27</v>
      </c>
      <c r="P20" s="58">
        <v>29</v>
      </c>
      <c r="Q20" s="58">
        <v>31</v>
      </c>
      <c r="R20" s="58">
        <v>33</v>
      </c>
      <c r="S20" s="58">
        <v>35</v>
      </c>
      <c r="T20" s="58">
        <v>37</v>
      </c>
      <c r="U20" s="58">
        <v>39</v>
      </c>
      <c r="V20" s="58">
        <v>41</v>
      </c>
      <c r="W20" s="58">
        <v>43</v>
      </c>
      <c r="X20" s="58">
        <v>45</v>
      </c>
      <c r="Y20" s="58">
        <v>47</v>
      </c>
      <c r="Z20" s="72"/>
      <c r="AC20" s="74"/>
    </row>
    <row r="21" spans="1:29" x14ac:dyDescent="0.2">
      <c r="A21" s="38" t="s">
        <v>230</v>
      </c>
      <c r="B21" s="58">
        <v>2</v>
      </c>
      <c r="C21" s="58">
        <v>4</v>
      </c>
      <c r="D21" s="58">
        <v>6</v>
      </c>
      <c r="E21" s="58">
        <v>8</v>
      </c>
      <c r="F21" s="58">
        <v>10</v>
      </c>
      <c r="G21" s="58">
        <v>12</v>
      </c>
      <c r="H21" s="58">
        <v>14</v>
      </c>
      <c r="I21" s="58">
        <v>16</v>
      </c>
      <c r="J21" s="58">
        <v>18</v>
      </c>
      <c r="K21" s="58">
        <v>20</v>
      </c>
      <c r="L21" s="58">
        <v>22</v>
      </c>
      <c r="M21" s="58">
        <v>24</v>
      </c>
      <c r="N21" s="58">
        <v>26</v>
      </c>
      <c r="O21" s="58">
        <v>28</v>
      </c>
      <c r="P21" s="58">
        <v>30</v>
      </c>
      <c r="Q21" s="58">
        <v>32</v>
      </c>
      <c r="R21" s="58">
        <v>34</v>
      </c>
      <c r="S21" s="58">
        <v>36</v>
      </c>
      <c r="T21" s="58">
        <v>38</v>
      </c>
      <c r="U21" s="58">
        <v>40</v>
      </c>
      <c r="V21" s="58">
        <v>42</v>
      </c>
      <c r="W21" s="58">
        <v>44</v>
      </c>
      <c r="X21" s="58">
        <v>46</v>
      </c>
      <c r="Y21" s="58">
        <v>48</v>
      </c>
      <c r="Z21" s="72"/>
    </row>
    <row r="22" spans="1:29" x14ac:dyDescent="0.2">
      <c r="A22" s="38" t="s">
        <v>231</v>
      </c>
      <c r="B22" s="58">
        <v>3</v>
      </c>
      <c r="C22" s="58">
        <v>5</v>
      </c>
      <c r="D22" s="58">
        <v>7</v>
      </c>
      <c r="E22" s="58">
        <v>9</v>
      </c>
      <c r="F22" s="58">
        <v>11</v>
      </c>
      <c r="G22" s="58">
        <v>13</v>
      </c>
      <c r="H22" s="58">
        <v>15</v>
      </c>
      <c r="I22" s="58">
        <v>17</v>
      </c>
      <c r="J22" s="58">
        <v>19</v>
      </c>
      <c r="K22" s="58">
        <v>21</v>
      </c>
      <c r="L22" s="58">
        <v>23</v>
      </c>
      <c r="M22" s="58">
        <v>25</v>
      </c>
      <c r="N22" s="58">
        <v>27</v>
      </c>
      <c r="O22" s="58">
        <v>29</v>
      </c>
      <c r="P22" s="58">
        <v>31</v>
      </c>
      <c r="Q22" s="58">
        <v>33</v>
      </c>
      <c r="R22" s="58">
        <v>35</v>
      </c>
      <c r="S22" s="58">
        <v>37</v>
      </c>
      <c r="T22" s="58">
        <v>39</v>
      </c>
      <c r="U22" s="58">
        <v>41</v>
      </c>
      <c r="V22" s="58">
        <v>43</v>
      </c>
      <c r="W22" s="58">
        <v>45</v>
      </c>
      <c r="X22" s="58">
        <v>47</v>
      </c>
      <c r="Y22" s="58">
        <v>49</v>
      </c>
      <c r="Z22" s="72"/>
    </row>
    <row r="23" spans="1:29" x14ac:dyDescent="0.2">
      <c r="A23" s="38" t="s">
        <v>232</v>
      </c>
      <c r="B23" s="58">
        <v>4</v>
      </c>
      <c r="C23" s="58">
        <v>7</v>
      </c>
      <c r="D23" s="58">
        <v>10</v>
      </c>
      <c r="E23" s="58">
        <v>13</v>
      </c>
      <c r="F23" s="58">
        <v>16</v>
      </c>
      <c r="G23" s="58">
        <v>19</v>
      </c>
      <c r="H23" s="58">
        <v>22</v>
      </c>
      <c r="I23" s="58">
        <v>25</v>
      </c>
      <c r="J23" s="58">
        <v>28</v>
      </c>
      <c r="K23" s="58">
        <v>31</v>
      </c>
      <c r="L23" s="58">
        <v>34</v>
      </c>
      <c r="M23" s="58">
        <v>37</v>
      </c>
      <c r="N23" s="58">
        <v>40</v>
      </c>
      <c r="O23" s="58">
        <v>43</v>
      </c>
      <c r="P23" s="58">
        <v>46</v>
      </c>
      <c r="Q23" s="58">
        <v>49</v>
      </c>
      <c r="R23" s="58">
        <v>52</v>
      </c>
      <c r="S23" s="58">
        <v>55</v>
      </c>
      <c r="T23" s="58">
        <v>58</v>
      </c>
      <c r="U23" s="58">
        <v>61</v>
      </c>
      <c r="V23" s="58">
        <v>64</v>
      </c>
      <c r="W23" s="58">
        <v>67</v>
      </c>
      <c r="X23" s="58">
        <v>70</v>
      </c>
      <c r="Y23" s="58">
        <v>73</v>
      </c>
      <c r="Z23" s="72"/>
    </row>
    <row r="24" spans="1:29" x14ac:dyDescent="0.2">
      <c r="A24" s="38" t="s">
        <v>233</v>
      </c>
      <c r="B24" s="58">
        <v>5</v>
      </c>
      <c r="C24" s="58">
        <v>6</v>
      </c>
      <c r="D24" s="58">
        <v>7</v>
      </c>
      <c r="E24" s="58">
        <v>8</v>
      </c>
      <c r="F24" s="58">
        <v>9</v>
      </c>
      <c r="G24" s="58">
        <v>10</v>
      </c>
      <c r="H24" s="58">
        <v>11</v>
      </c>
      <c r="I24" s="58">
        <v>12</v>
      </c>
      <c r="J24" s="58">
        <v>13</v>
      </c>
      <c r="K24" s="58">
        <v>14</v>
      </c>
      <c r="L24" s="58">
        <v>15</v>
      </c>
      <c r="M24" s="58">
        <v>16</v>
      </c>
      <c r="N24" s="58">
        <v>17</v>
      </c>
      <c r="O24" s="58">
        <v>18</v>
      </c>
      <c r="P24" s="58">
        <v>19</v>
      </c>
      <c r="Q24" s="58">
        <v>20</v>
      </c>
      <c r="R24" s="58">
        <v>21</v>
      </c>
      <c r="S24" s="58">
        <v>22</v>
      </c>
      <c r="T24" s="58">
        <v>23</v>
      </c>
      <c r="U24" s="58">
        <v>24</v>
      </c>
      <c r="V24" s="58">
        <v>25</v>
      </c>
      <c r="W24" s="58">
        <v>26</v>
      </c>
      <c r="X24" s="58">
        <v>27</v>
      </c>
      <c r="Y24" s="58">
        <v>28</v>
      </c>
      <c r="Z24" s="72"/>
    </row>
    <row r="25" spans="1:29" x14ac:dyDescent="0.2">
      <c r="A25" s="38" t="s">
        <v>234</v>
      </c>
      <c r="B25" s="58">
        <v>6</v>
      </c>
      <c r="C25" s="58">
        <v>9</v>
      </c>
      <c r="D25" s="58">
        <v>12</v>
      </c>
      <c r="E25" s="58">
        <v>15</v>
      </c>
      <c r="F25" s="58">
        <v>18</v>
      </c>
      <c r="G25" s="58">
        <v>21</v>
      </c>
      <c r="H25" s="58">
        <v>24</v>
      </c>
      <c r="I25" s="58">
        <v>27</v>
      </c>
      <c r="J25" s="58">
        <v>30</v>
      </c>
      <c r="K25" s="58">
        <v>33</v>
      </c>
      <c r="L25" s="58">
        <v>36</v>
      </c>
      <c r="M25" s="58">
        <v>39</v>
      </c>
      <c r="N25" s="58">
        <v>42</v>
      </c>
      <c r="O25" s="58">
        <v>45</v>
      </c>
      <c r="P25" s="58">
        <v>48</v>
      </c>
      <c r="Q25" s="58">
        <v>51</v>
      </c>
      <c r="R25" s="58">
        <v>54</v>
      </c>
      <c r="S25" s="58">
        <v>57</v>
      </c>
      <c r="T25" s="58">
        <v>60</v>
      </c>
      <c r="U25" s="58">
        <v>63</v>
      </c>
      <c r="V25" s="58">
        <v>66</v>
      </c>
      <c r="W25" s="58">
        <v>69</v>
      </c>
      <c r="X25" s="58">
        <v>72</v>
      </c>
      <c r="Y25" s="58">
        <v>75</v>
      </c>
      <c r="Z25" s="72"/>
    </row>
    <row r="26" spans="1:29" x14ac:dyDescent="0.2">
      <c r="A26" s="38" t="s">
        <v>235</v>
      </c>
      <c r="B26" s="58">
        <v>7</v>
      </c>
      <c r="C26" s="58">
        <v>10</v>
      </c>
      <c r="D26" s="58">
        <v>13</v>
      </c>
      <c r="E26" s="58">
        <v>16</v>
      </c>
      <c r="F26" s="58">
        <v>19</v>
      </c>
      <c r="G26" s="58">
        <v>22</v>
      </c>
      <c r="H26" s="58">
        <v>25</v>
      </c>
      <c r="I26" s="58">
        <v>28</v>
      </c>
      <c r="J26" s="58">
        <v>31</v>
      </c>
      <c r="K26" s="58">
        <v>34</v>
      </c>
      <c r="L26" s="58">
        <v>37</v>
      </c>
      <c r="M26" s="58">
        <v>40</v>
      </c>
      <c r="N26" s="58">
        <v>43</v>
      </c>
      <c r="O26" s="58">
        <v>46</v>
      </c>
      <c r="P26" s="58">
        <v>49</v>
      </c>
      <c r="Q26" s="58">
        <v>52</v>
      </c>
      <c r="R26" s="58">
        <v>55</v>
      </c>
      <c r="S26" s="58">
        <v>58</v>
      </c>
      <c r="T26" s="58">
        <v>61</v>
      </c>
      <c r="U26" s="58">
        <v>64</v>
      </c>
      <c r="V26" s="58">
        <v>67</v>
      </c>
      <c r="W26" s="58">
        <v>70</v>
      </c>
      <c r="X26" s="58">
        <v>73</v>
      </c>
      <c r="Y26" s="58">
        <v>76</v>
      </c>
      <c r="Z26" s="72"/>
    </row>
    <row r="27" spans="1:29" x14ac:dyDescent="0.2">
      <c r="A27" s="38" t="s">
        <v>236</v>
      </c>
      <c r="B27" s="58">
        <v>8</v>
      </c>
      <c r="C27" s="58">
        <v>9</v>
      </c>
      <c r="D27" s="58">
        <v>10</v>
      </c>
      <c r="E27" s="58">
        <v>11</v>
      </c>
      <c r="F27" s="58">
        <v>12</v>
      </c>
      <c r="G27" s="58">
        <v>13</v>
      </c>
      <c r="H27" s="58">
        <v>14</v>
      </c>
      <c r="I27" s="58">
        <v>15</v>
      </c>
      <c r="J27" s="58">
        <v>16</v>
      </c>
      <c r="K27" s="58">
        <v>17</v>
      </c>
      <c r="L27" s="58">
        <v>18</v>
      </c>
      <c r="M27" s="58">
        <v>19</v>
      </c>
      <c r="N27" s="58">
        <v>20</v>
      </c>
      <c r="O27" s="58">
        <v>21</v>
      </c>
      <c r="P27" s="58">
        <v>22</v>
      </c>
      <c r="Q27" s="58">
        <v>23</v>
      </c>
      <c r="R27" s="58">
        <v>24</v>
      </c>
      <c r="S27" s="58">
        <v>25</v>
      </c>
      <c r="T27" s="58">
        <v>26</v>
      </c>
      <c r="U27" s="58">
        <v>27</v>
      </c>
      <c r="V27" s="58">
        <v>28</v>
      </c>
      <c r="W27" s="58">
        <v>29</v>
      </c>
      <c r="X27" s="58">
        <v>30</v>
      </c>
      <c r="Y27" s="58">
        <v>31</v>
      </c>
      <c r="Z27" s="72"/>
    </row>
    <row r="28" spans="1:29" x14ac:dyDescent="0.2">
      <c r="A28" s="38" t="s">
        <v>237</v>
      </c>
      <c r="B28" s="58">
        <v>9</v>
      </c>
      <c r="C28" s="58">
        <v>12</v>
      </c>
      <c r="D28" s="58">
        <v>15</v>
      </c>
      <c r="E28" s="58">
        <v>18</v>
      </c>
      <c r="F28" s="58">
        <v>21</v>
      </c>
      <c r="G28" s="58">
        <v>24</v>
      </c>
      <c r="H28" s="58">
        <v>27</v>
      </c>
      <c r="I28" s="58">
        <v>30</v>
      </c>
      <c r="J28" s="58">
        <v>33</v>
      </c>
      <c r="K28" s="58">
        <v>36</v>
      </c>
      <c r="L28" s="58">
        <v>39</v>
      </c>
      <c r="M28" s="58">
        <v>42</v>
      </c>
      <c r="N28" s="58">
        <v>45</v>
      </c>
      <c r="O28" s="58">
        <v>48</v>
      </c>
      <c r="P28" s="58">
        <v>51</v>
      </c>
      <c r="Q28" s="58">
        <v>54</v>
      </c>
      <c r="R28" s="58">
        <v>57</v>
      </c>
      <c r="S28" s="58">
        <v>60</v>
      </c>
      <c r="T28" s="58">
        <v>63</v>
      </c>
      <c r="U28" s="58">
        <v>66</v>
      </c>
      <c r="V28" s="58">
        <v>69</v>
      </c>
      <c r="W28" s="58">
        <v>72</v>
      </c>
      <c r="X28" s="58">
        <v>75</v>
      </c>
      <c r="Y28" s="58">
        <v>78</v>
      </c>
      <c r="Z28" s="72"/>
    </row>
    <row r="29" spans="1:29" x14ac:dyDescent="0.2">
      <c r="A29" s="38" t="s">
        <v>238</v>
      </c>
      <c r="B29" s="58">
        <v>10</v>
      </c>
      <c r="C29" s="58">
        <v>11</v>
      </c>
      <c r="D29" s="58">
        <v>12</v>
      </c>
      <c r="E29" s="58">
        <v>13</v>
      </c>
      <c r="F29" s="58">
        <v>14</v>
      </c>
      <c r="G29" s="58">
        <v>15</v>
      </c>
      <c r="H29" s="58">
        <v>16</v>
      </c>
      <c r="I29" s="58">
        <v>17</v>
      </c>
      <c r="J29" s="58">
        <v>18</v>
      </c>
      <c r="K29" s="58">
        <v>19</v>
      </c>
      <c r="L29" s="58">
        <v>20</v>
      </c>
      <c r="M29" s="58">
        <v>21</v>
      </c>
      <c r="N29" s="58">
        <v>22</v>
      </c>
      <c r="O29" s="58">
        <v>23</v>
      </c>
      <c r="P29" s="58">
        <v>24</v>
      </c>
      <c r="Q29" s="58">
        <v>25</v>
      </c>
      <c r="R29" s="58">
        <v>26</v>
      </c>
      <c r="S29" s="58">
        <v>27</v>
      </c>
      <c r="T29" s="58">
        <v>28</v>
      </c>
      <c r="U29" s="58">
        <v>29</v>
      </c>
      <c r="V29" s="58">
        <v>30</v>
      </c>
      <c r="W29" s="58">
        <v>31</v>
      </c>
      <c r="X29" s="58">
        <v>32</v>
      </c>
      <c r="Y29" s="58">
        <v>33</v>
      </c>
      <c r="Z29" s="72"/>
    </row>
    <row r="30" spans="1:29" x14ac:dyDescent="0.2">
      <c r="A30" s="38" t="s">
        <v>108</v>
      </c>
      <c r="B30" s="138"/>
      <c r="C30" s="138"/>
      <c r="D30" s="138"/>
      <c r="E30" s="139"/>
      <c r="F30" s="138"/>
      <c r="G30" s="138"/>
      <c r="H30" s="138"/>
      <c r="I30" s="138"/>
      <c r="J30" s="138"/>
      <c r="K30" s="138"/>
      <c r="L30" s="138"/>
      <c r="M30" s="138"/>
      <c r="N30" s="138"/>
      <c r="O30" s="138"/>
      <c r="P30" s="138"/>
      <c r="Q30" s="138"/>
      <c r="R30" s="138"/>
      <c r="S30" s="138"/>
      <c r="T30" s="138"/>
      <c r="U30" s="138"/>
      <c r="V30" s="138"/>
      <c r="W30" s="138"/>
      <c r="X30" s="138"/>
      <c r="Y30" s="138"/>
      <c r="Z30" s="75"/>
    </row>
    <row r="32" spans="1:29" x14ac:dyDescent="0.2">
      <c r="A32" s="76" t="s">
        <v>280</v>
      </c>
    </row>
    <row r="33" spans="1:7" x14ac:dyDescent="0.2">
      <c r="E33" s="23" t="s">
        <v>121</v>
      </c>
      <c r="G33" s="23"/>
    </row>
    <row r="34" spans="1:7" x14ac:dyDescent="0.2">
      <c r="A34" s="38" t="s">
        <v>229</v>
      </c>
      <c r="E34" s="77">
        <v>100</v>
      </c>
      <c r="G34" s="77"/>
    </row>
    <row r="35" spans="1:7" x14ac:dyDescent="0.2">
      <c r="A35" s="38" t="s">
        <v>230</v>
      </c>
      <c r="E35" s="77">
        <v>150</v>
      </c>
      <c r="G35" s="77"/>
    </row>
    <row r="36" spans="1:7" x14ac:dyDescent="0.2">
      <c r="A36" s="38" t="s">
        <v>231</v>
      </c>
      <c r="E36" s="77">
        <v>200</v>
      </c>
      <c r="G36" s="77"/>
    </row>
    <row r="37" spans="1:7" x14ac:dyDescent="0.2">
      <c r="A37" s="38" t="s">
        <v>232</v>
      </c>
      <c r="E37" s="77">
        <v>220</v>
      </c>
      <c r="G37" s="77"/>
    </row>
    <row r="38" spans="1:7" x14ac:dyDescent="0.2">
      <c r="A38" s="38" t="s">
        <v>233</v>
      </c>
      <c r="E38" s="77">
        <v>300</v>
      </c>
      <c r="G38" s="77"/>
    </row>
    <row r="39" spans="1:7" x14ac:dyDescent="0.2">
      <c r="A39" s="38" t="s">
        <v>234</v>
      </c>
      <c r="E39" s="77">
        <v>350</v>
      </c>
      <c r="G39" s="77"/>
    </row>
    <row r="40" spans="1:7" x14ac:dyDescent="0.2">
      <c r="A40" s="38" t="s">
        <v>235</v>
      </c>
      <c r="E40" s="77">
        <v>550</v>
      </c>
      <c r="G40" s="77"/>
    </row>
    <row r="41" spans="1:7" x14ac:dyDescent="0.2">
      <c r="A41" s="38" t="s">
        <v>236</v>
      </c>
      <c r="E41" s="77">
        <v>600</v>
      </c>
      <c r="G41" s="77"/>
    </row>
    <row r="42" spans="1:7" x14ac:dyDescent="0.2">
      <c r="A42" s="38" t="s">
        <v>237</v>
      </c>
      <c r="E42" s="77">
        <v>700</v>
      </c>
      <c r="G42" s="77"/>
    </row>
    <row r="43" spans="1:7" x14ac:dyDescent="0.2">
      <c r="A43" s="38" t="s">
        <v>238</v>
      </c>
      <c r="E43" s="77">
        <v>900</v>
      </c>
      <c r="G43" s="77"/>
    </row>
    <row r="45" spans="1:7" ht="18" x14ac:dyDescent="0.25">
      <c r="A45" s="137" t="s">
        <v>241</v>
      </c>
    </row>
    <row r="46" spans="1:7" ht="21" x14ac:dyDescent="0.35">
      <c r="A46" s="136" t="s">
        <v>242</v>
      </c>
    </row>
  </sheetData>
  <mergeCells count="14">
    <mergeCell ref="B1:Y1"/>
    <mergeCell ref="B2:E2"/>
    <mergeCell ref="F2:I2"/>
    <mergeCell ref="J2:M2"/>
    <mergeCell ref="N2:Q2"/>
    <mergeCell ref="R2:U2"/>
    <mergeCell ref="V2:Y2"/>
    <mergeCell ref="B17:Y17"/>
    <mergeCell ref="B18:E18"/>
    <mergeCell ref="F18:I18"/>
    <mergeCell ref="J18:M18"/>
    <mergeCell ref="N18:Q18"/>
    <mergeCell ref="R18:U18"/>
    <mergeCell ref="V18:Y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1"/>
  <sheetViews>
    <sheetView topLeftCell="A16" workbookViewId="0">
      <selection activeCell="A2" sqref="A2"/>
    </sheetView>
  </sheetViews>
  <sheetFormatPr defaultRowHeight="12.75" x14ac:dyDescent="0.25"/>
  <cols>
    <col min="1" max="1" width="21.28515625" style="79" customWidth="1"/>
    <col min="2" max="7" width="9.140625" style="79"/>
    <col min="8" max="8" width="7.85546875" style="79" customWidth="1"/>
    <col min="9" max="9" width="8.42578125" style="79" customWidth="1"/>
    <col min="10" max="10" width="7.7109375" style="79" customWidth="1"/>
    <col min="11" max="11" width="7.42578125" style="79" customWidth="1"/>
    <col min="12" max="16384" width="9.140625" style="79"/>
  </cols>
  <sheetData>
    <row r="1" spans="1:13" ht="15" customHeight="1" x14ac:dyDescent="0.25">
      <c r="A1" s="108" t="s">
        <v>243</v>
      </c>
      <c r="B1" s="109"/>
      <c r="C1" s="110"/>
      <c r="D1" s="78"/>
      <c r="E1" s="78"/>
      <c r="F1" s="78"/>
      <c r="G1" s="78"/>
      <c r="H1" s="78"/>
      <c r="I1" s="78"/>
      <c r="J1" s="78"/>
      <c r="K1" s="78"/>
      <c r="L1" s="78"/>
      <c r="M1" s="78"/>
    </row>
    <row r="2" spans="1:13" ht="15" customHeight="1" x14ac:dyDescent="0.25">
      <c r="A2" s="80" t="s">
        <v>244</v>
      </c>
      <c r="B2" s="81">
        <v>0.02</v>
      </c>
      <c r="C2" s="78"/>
      <c r="D2" s="78"/>
      <c r="E2" s="78"/>
      <c r="F2" s="78"/>
      <c r="G2" s="78"/>
      <c r="H2" s="78"/>
      <c r="I2" s="78"/>
      <c r="J2" s="78"/>
      <c r="K2" s="78"/>
      <c r="L2" s="78"/>
      <c r="M2" s="78"/>
    </row>
    <row r="3" spans="1:13" ht="15" customHeight="1" x14ac:dyDescent="0.25">
      <c r="A3" s="80" t="s">
        <v>245</v>
      </c>
      <c r="B3" s="81">
        <v>0.01</v>
      </c>
      <c r="C3" s="78"/>
      <c r="D3" s="78"/>
      <c r="E3" s="78"/>
      <c r="F3" s="78"/>
      <c r="G3" s="78"/>
      <c r="H3" s="78"/>
      <c r="I3" s="78"/>
      <c r="J3" s="78"/>
      <c r="K3" s="78"/>
      <c r="L3" s="78"/>
      <c r="M3" s="78"/>
    </row>
    <row r="4" spans="1:13" ht="15" customHeight="1" x14ac:dyDescent="0.25">
      <c r="A4" s="80"/>
      <c r="B4" s="81"/>
      <c r="C4" s="78"/>
      <c r="D4" s="78"/>
      <c r="E4" s="78"/>
      <c r="F4" s="78"/>
      <c r="G4" s="78"/>
      <c r="H4" s="78"/>
      <c r="I4" s="78"/>
      <c r="J4" s="78"/>
      <c r="K4" s="78"/>
      <c r="L4" s="78"/>
      <c r="M4" s="78"/>
    </row>
    <row r="5" spans="1:13" ht="15" customHeight="1" x14ac:dyDescent="0.25">
      <c r="A5" s="78"/>
      <c r="B5" s="78"/>
      <c r="C5" s="78"/>
      <c r="D5" s="78"/>
      <c r="E5" s="78"/>
      <c r="F5" s="111" t="s">
        <v>246</v>
      </c>
      <c r="G5" s="78"/>
      <c r="H5" s="78"/>
      <c r="I5" s="78"/>
      <c r="J5" s="78"/>
      <c r="K5" s="78"/>
      <c r="L5" s="78"/>
      <c r="M5" s="78"/>
    </row>
    <row r="6" spans="1:13" ht="15" customHeight="1" x14ac:dyDescent="0.25">
      <c r="A6" s="78"/>
      <c r="B6" s="82" t="s">
        <v>247</v>
      </c>
      <c r="C6" s="82" t="s">
        <v>248</v>
      </c>
      <c r="D6" s="82" t="s">
        <v>249</v>
      </c>
      <c r="E6" s="82" t="s">
        <v>250</v>
      </c>
      <c r="F6" s="112"/>
      <c r="G6" s="78"/>
      <c r="H6" s="78"/>
      <c r="I6" s="78"/>
      <c r="J6" s="78"/>
      <c r="K6" s="78"/>
      <c r="L6" s="78"/>
      <c r="M6" s="78"/>
    </row>
    <row r="7" spans="1:13" ht="15" customHeight="1" x14ac:dyDescent="0.25">
      <c r="A7" s="80" t="s">
        <v>251</v>
      </c>
      <c r="B7" s="132"/>
      <c r="C7" s="132"/>
      <c r="D7" s="132"/>
      <c r="E7" s="132"/>
      <c r="F7" s="132"/>
      <c r="G7" s="78"/>
      <c r="H7" s="78"/>
      <c r="I7" s="78"/>
      <c r="J7" s="78"/>
      <c r="K7" s="78"/>
      <c r="L7" s="78"/>
      <c r="M7" s="78"/>
    </row>
    <row r="8" spans="1:13" ht="15" customHeight="1" x14ac:dyDescent="0.25">
      <c r="A8" s="80" t="s">
        <v>252</v>
      </c>
      <c r="B8" s="132"/>
      <c r="C8" s="132"/>
      <c r="D8" s="132"/>
      <c r="E8" s="132"/>
      <c r="F8" s="132"/>
      <c r="G8" s="78"/>
      <c r="H8" s="78"/>
      <c r="I8" s="78"/>
      <c r="J8" s="78"/>
      <c r="K8" s="78"/>
      <c r="L8" s="78"/>
      <c r="M8" s="78"/>
    </row>
    <row r="9" spans="1:13" ht="15" customHeight="1" x14ac:dyDescent="0.25">
      <c r="A9" s="80" t="s">
        <v>253</v>
      </c>
      <c r="B9" s="132"/>
      <c r="C9" s="132"/>
      <c r="D9" s="132"/>
      <c r="E9" s="132"/>
      <c r="F9" s="132"/>
      <c r="G9" s="78"/>
      <c r="H9" s="78"/>
      <c r="I9" s="78"/>
      <c r="J9" s="78"/>
      <c r="K9" s="78"/>
      <c r="L9" s="78"/>
      <c r="M9" s="78"/>
    </row>
    <row r="10" spans="1:13" ht="15" customHeight="1" x14ac:dyDescent="0.25">
      <c r="A10" s="80" t="s">
        <v>254</v>
      </c>
      <c r="B10" s="132"/>
      <c r="C10" s="132"/>
      <c r="D10" s="132"/>
      <c r="E10" s="132"/>
      <c r="F10" s="132"/>
      <c r="G10" s="78"/>
      <c r="H10" s="78"/>
      <c r="I10" s="78"/>
      <c r="J10" s="78"/>
      <c r="K10" s="78"/>
      <c r="L10" s="78"/>
      <c r="M10" s="78"/>
    </row>
    <row r="11" spans="1:13" ht="15" customHeight="1" x14ac:dyDescent="0.25">
      <c r="A11" s="80" t="s">
        <v>255</v>
      </c>
      <c r="B11" s="132"/>
      <c r="C11" s="132"/>
      <c r="D11" s="132"/>
      <c r="E11" s="132"/>
      <c r="F11" s="132"/>
      <c r="G11" s="78"/>
      <c r="H11" s="78"/>
      <c r="I11" s="78"/>
      <c r="J11" s="78"/>
      <c r="K11" s="78"/>
      <c r="L11" s="78"/>
      <c r="M11" s="78"/>
    </row>
    <row r="12" spans="1:13" ht="15" customHeight="1" x14ac:dyDescent="0.25">
      <c r="A12" s="78"/>
      <c r="B12" s="78"/>
      <c r="C12" s="78"/>
      <c r="D12" s="78"/>
      <c r="E12" s="78"/>
      <c r="F12" s="78"/>
      <c r="G12" s="78"/>
      <c r="H12" s="78"/>
      <c r="I12" s="78"/>
      <c r="J12" s="78"/>
      <c r="K12" s="78"/>
      <c r="L12" s="78"/>
      <c r="M12" s="78"/>
    </row>
    <row r="13" spans="1:13" s="84" customFormat="1" ht="15" customHeight="1" x14ac:dyDescent="0.25">
      <c r="A13" s="83"/>
      <c r="B13" s="82" t="s">
        <v>122</v>
      </c>
      <c r="C13" s="82" t="s">
        <v>123</v>
      </c>
      <c r="D13" s="82" t="s">
        <v>124</v>
      </c>
      <c r="E13" s="82" t="s">
        <v>125</v>
      </c>
      <c r="F13" s="82" t="s">
        <v>219</v>
      </c>
      <c r="G13" s="82" t="s">
        <v>127</v>
      </c>
      <c r="H13" s="82" t="s">
        <v>128</v>
      </c>
      <c r="I13" s="82" t="s">
        <v>129</v>
      </c>
      <c r="J13" s="82" t="s">
        <v>130</v>
      </c>
      <c r="K13" s="82" t="s">
        <v>131</v>
      </c>
      <c r="L13" s="82" t="s">
        <v>132</v>
      </c>
      <c r="M13" s="82" t="s">
        <v>133</v>
      </c>
    </row>
    <row r="14" spans="1:13" ht="15" customHeight="1" x14ac:dyDescent="0.25">
      <c r="A14" s="80" t="s">
        <v>251</v>
      </c>
      <c r="B14" s="85">
        <v>30000</v>
      </c>
      <c r="C14" s="132"/>
      <c r="D14" s="132"/>
      <c r="E14" s="132"/>
      <c r="F14" s="132"/>
      <c r="G14" s="132"/>
      <c r="H14" s="132"/>
      <c r="I14" s="132"/>
      <c r="J14" s="132"/>
      <c r="K14" s="132"/>
      <c r="L14" s="132"/>
      <c r="M14" s="132"/>
    </row>
    <row r="15" spans="1:13" ht="15" customHeight="1" x14ac:dyDescent="0.25">
      <c r="A15" s="80" t="s">
        <v>252</v>
      </c>
      <c r="B15" s="85">
        <v>20000</v>
      </c>
      <c r="C15" s="132"/>
      <c r="D15" s="132"/>
      <c r="E15" s="132"/>
      <c r="F15" s="132"/>
      <c r="G15" s="132"/>
      <c r="H15" s="132"/>
      <c r="I15" s="132"/>
      <c r="J15" s="132"/>
      <c r="K15" s="132"/>
      <c r="L15" s="132"/>
      <c r="M15" s="132"/>
    </row>
    <row r="16" spans="1:13" ht="15" customHeight="1" x14ac:dyDescent="0.25">
      <c r="A16" s="144" t="s">
        <v>253</v>
      </c>
      <c r="B16" s="86"/>
      <c r="C16" s="132"/>
      <c r="D16" s="132"/>
      <c r="E16" s="132"/>
      <c r="F16" s="132"/>
      <c r="G16" s="132"/>
      <c r="H16" s="132"/>
      <c r="I16" s="132"/>
      <c r="J16" s="132"/>
      <c r="K16" s="132"/>
      <c r="L16" s="132"/>
      <c r="M16" s="132"/>
    </row>
    <row r="17" spans="1:13" ht="15" customHeight="1" x14ac:dyDescent="0.25">
      <c r="A17" s="87" t="s">
        <v>254</v>
      </c>
      <c r="B17" s="86"/>
      <c r="C17" s="146"/>
      <c r="D17" s="146"/>
      <c r="E17" s="146"/>
      <c r="F17" s="146"/>
      <c r="G17" s="146"/>
      <c r="H17" s="146"/>
      <c r="I17" s="146"/>
      <c r="J17" s="146"/>
      <c r="K17" s="146"/>
      <c r="L17" s="146"/>
      <c r="M17" s="146"/>
    </row>
    <row r="18" spans="1:13" ht="15" customHeight="1" x14ac:dyDescent="0.25">
      <c r="A18" s="80" t="s">
        <v>256</v>
      </c>
      <c r="B18" s="85">
        <v>1000</v>
      </c>
      <c r="C18" s="132"/>
      <c r="D18" s="132"/>
      <c r="E18" s="132"/>
      <c r="F18" s="132"/>
      <c r="G18" s="132"/>
      <c r="H18" s="132"/>
      <c r="I18" s="132"/>
      <c r="J18" s="132"/>
      <c r="K18" s="132"/>
      <c r="L18" s="132"/>
      <c r="M18" s="132"/>
    </row>
    <row r="19" spans="1:13" ht="15" customHeight="1" x14ac:dyDescent="0.25">
      <c r="A19" s="80" t="s">
        <v>213</v>
      </c>
      <c r="B19" s="85">
        <v>500</v>
      </c>
      <c r="C19" s="132"/>
      <c r="D19" s="132"/>
      <c r="E19" s="132"/>
      <c r="F19" s="132"/>
      <c r="G19" s="132"/>
      <c r="H19" s="132"/>
      <c r="I19" s="132"/>
      <c r="J19" s="132"/>
      <c r="K19" s="132"/>
      <c r="L19" s="132"/>
      <c r="M19" s="132"/>
    </row>
    <row r="20" spans="1:13" ht="15" customHeight="1" x14ac:dyDescent="0.25">
      <c r="A20" s="80" t="s">
        <v>214</v>
      </c>
      <c r="B20" s="85">
        <v>400</v>
      </c>
      <c r="C20" s="132"/>
      <c r="D20" s="132"/>
      <c r="E20" s="132"/>
      <c r="F20" s="132"/>
      <c r="G20" s="132"/>
      <c r="H20" s="132"/>
      <c r="I20" s="132"/>
      <c r="J20" s="132"/>
      <c r="K20" s="132"/>
      <c r="L20" s="132"/>
      <c r="M20" s="132"/>
    </row>
    <row r="21" spans="1:13" ht="15" customHeight="1" x14ac:dyDescent="0.25">
      <c r="A21" s="80" t="s">
        <v>257</v>
      </c>
      <c r="B21" s="85">
        <v>100</v>
      </c>
      <c r="C21" s="132"/>
      <c r="D21" s="132"/>
      <c r="E21" s="132"/>
      <c r="F21" s="132"/>
      <c r="G21" s="132"/>
      <c r="H21" s="132"/>
      <c r="I21" s="132"/>
      <c r="J21" s="132"/>
      <c r="K21" s="132"/>
      <c r="L21" s="132"/>
      <c r="M21" s="132"/>
    </row>
    <row r="22" spans="1:13" ht="15" customHeight="1" x14ac:dyDescent="0.25">
      <c r="A22" s="80" t="s">
        <v>258</v>
      </c>
      <c r="B22" s="85">
        <v>3000</v>
      </c>
      <c r="C22" s="132"/>
      <c r="D22" s="132"/>
      <c r="E22" s="132"/>
      <c r="F22" s="132"/>
      <c r="G22" s="132"/>
      <c r="H22" s="132"/>
      <c r="I22" s="132"/>
      <c r="J22" s="132"/>
      <c r="K22" s="132"/>
      <c r="L22" s="132"/>
      <c r="M22" s="132"/>
    </row>
    <row r="23" spans="1:13" ht="15" customHeight="1" x14ac:dyDescent="0.25">
      <c r="A23" s="144" t="s">
        <v>259</v>
      </c>
      <c r="B23" s="78"/>
      <c r="C23" s="132"/>
      <c r="D23" s="132"/>
      <c r="E23" s="132"/>
      <c r="F23" s="132"/>
      <c r="G23" s="132"/>
      <c r="H23" s="132"/>
      <c r="I23" s="132"/>
      <c r="J23" s="132"/>
      <c r="K23" s="132"/>
      <c r="L23" s="132"/>
      <c r="M23" s="132"/>
    </row>
    <row r="24" spans="1:13" ht="15" customHeight="1" x14ac:dyDescent="0.25">
      <c r="A24" s="145" t="s">
        <v>255</v>
      </c>
      <c r="B24" s="78"/>
      <c r="C24" s="132"/>
      <c r="D24" s="132"/>
      <c r="E24" s="132"/>
      <c r="F24" s="132"/>
      <c r="G24" s="132"/>
      <c r="H24" s="132"/>
      <c r="I24" s="132"/>
      <c r="J24" s="132"/>
      <c r="K24" s="132"/>
      <c r="L24" s="132"/>
      <c r="M24" s="132"/>
    </row>
    <row r="26" spans="1:13" ht="18" customHeight="1" x14ac:dyDescent="0.25">
      <c r="A26" s="113" t="s">
        <v>243</v>
      </c>
      <c r="B26" s="114"/>
      <c r="C26" s="114"/>
    </row>
    <row r="27" spans="1:13" ht="65.099999999999994" customHeight="1" x14ac:dyDescent="0.25">
      <c r="A27" s="115" t="s">
        <v>260</v>
      </c>
      <c r="B27" s="116"/>
      <c r="C27" s="116"/>
      <c r="D27" s="116"/>
      <c r="E27" s="116"/>
      <c r="F27" s="116"/>
      <c r="G27" s="116"/>
      <c r="H27" s="116"/>
      <c r="I27" s="116"/>
      <c r="J27" s="116"/>
      <c r="K27" s="116"/>
      <c r="L27" s="116"/>
      <c r="M27" s="116"/>
    </row>
    <row r="29" spans="1:13" ht="37.5" customHeight="1" x14ac:dyDescent="0.25">
      <c r="A29" s="117" t="s">
        <v>261</v>
      </c>
      <c r="B29" s="117"/>
      <c r="C29" s="117"/>
      <c r="D29" s="117"/>
      <c r="E29" s="117"/>
      <c r="F29" s="117"/>
      <c r="G29" s="117"/>
      <c r="H29" s="117"/>
      <c r="I29" s="117"/>
      <c r="J29" s="117"/>
      <c r="K29" s="117"/>
      <c r="L29" s="117"/>
      <c r="M29" s="117"/>
    </row>
    <row r="31" spans="1:13" ht="20.25" customHeight="1" x14ac:dyDescent="0.25">
      <c r="A31" s="107" t="s">
        <v>262</v>
      </c>
      <c r="B31" s="107"/>
      <c r="C31" s="107"/>
      <c r="D31" s="107"/>
      <c r="E31" s="107"/>
      <c r="F31" s="107"/>
      <c r="G31" s="107"/>
      <c r="H31" s="107"/>
      <c r="I31" s="107"/>
      <c r="J31" s="107"/>
      <c r="K31" s="107"/>
      <c r="L31" s="107"/>
      <c r="M31" s="107"/>
    </row>
  </sheetData>
  <mergeCells count="6">
    <mergeCell ref="A31:M31"/>
    <mergeCell ref="A1:C1"/>
    <mergeCell ref="F5:F6"/>
    <mergeCell ref="A26:C26"/>
    <mergeCell ref="A27:M27"/>
    <mergeCell ref="A29:M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E23" sqref="E23"/>
    </sheetView>
  </sheetViews>
  <sheetFormatPr defaultRowHeight="14.25" x14ac:dyDescent="0.2"/>
  <cols>
    <col min="1" max="1" width="35.42578125" style="6" bestFit="1" customWidth="1"/>
    <col min="2" max="2" width="18.5703125" style="6" customWidth="1"/>
    <col min="3" max="3" width="27" style="6" customWidth="1"/>
    <col min="4" max="4" width="22.7109375" style="6" customWidth="1"/>
    <col min="5" max="5" width="9.140625" style="6"/>
    <col min="6" max="6" width="23.5703125" style="6" bestFit="1" customWidth="1"/>
    <col min="7" max="7" width="11.140625" style="6" bestFit="1" customWidth="1"/>
    <col min="8" max="8" width="8.140625" style="6" bestFit="1" customWidth="1"/>
    <col min="9" max="9" width="12.5703125" style="6" bestFit="1" customWidth="1"/>
    <col min="10" max="10" width="10" style="6" bestFit="1" customWidth="1"/>
    <col min="11" max="16384" width="9.140625" style="6"/>
  </cols>
  <sheetData>
    <row r="1" spans="1:10" x14ac:dyDescent="0.2">
      <c r="A1" s="6" t="s">
        <v>53</v>
      </c>
      <c r="B1" s="6" t="s">
        <v>67</v>
      </c>
    </row>
    <row r="2" spans="1:10" ht="15" x14ac:dyDescent="0.25">
      <c r="A2" s="6" t="s">
        <v>54</v>
      </c>
      <c r="B2" s="6" t="s">
        <v>56</v>
      </c>
      <c r="F2" s="122">
        <v>1</v>
      </c>
      <c r="G2" s="119" t="s">
        <v>62</v>
      </c>
      <c r="H2" s="119" t="s">
        <v>63</v>
      </c>
      <c r="I2" s="119" t="s">
        <v>64</v>
      </c>
      <c r="J2" s="118" t="s">
        <v>108</v>
      </c>
    </row>
    <row r="3" spans="1:10" x14ac:dyDescent="0.2">
      <c r="A3" s="6" t="s">
        <v>55</v>
      </c>
      <c r="B3" s="6" t="s">
        <v>57</v>
      </c>
      <c r="F3" s="120" t="s">
        <v>68</v>
      </c>
      <c r="G3" s="121"/>
      <c r="H3" s="121"/>
      <c r="I3" s="121"/>
      <c r="J3" s="121"/>
    </row>
    <row r="4" spans="1:10" x14ac:dyDescent="0.2">
      <c r="A4" s="6" t="s">
        <v>58</v>
      </c>
      <c r="B4" s="6" t="s">
        <v>59</v>
      </c>
      <c r="F4" s="120" t="s">
        <v>69</v>
      </c>
      <c r="G4" s="121"/>
      <c r="H4" s="121"/>
      <c r="I4" s="121"/>
      <c r="J4" s="121"/>
    </row>
    <row r="5" spans="1:10" x14ac:dyDescent="0.2">
      <c r="A5" s="7" t="s">
        <v>60</v>
      </c>
      <c r="F5" s="120" t="s">
        <v>70</v>
      </c>
      <c r="G5" s="121"/>
      <c r="H5" s="121"/>
      <c r="I5" s="121"/>
      <c r="J5" s="121"/>
    </row>
    <row r="6" spans="1:10" x14ac:dyDescent="0.2">
      <c r="B6" s="8" t="s">
        <v>62</v>
      </c>
      <c r="C6" s="8" t="s">
        <v>63</v>
      </c>
      <c r="D6" s="8" t="s">
        <v>64</v>
      </c>
      <c r="F6" s="118" t="s">
        <v>108</v>
      </c>
      <c r="G6" s="121"/>
      <c r="H6" s="121"/>
      <c r="I6" s="121"/>
      <c r="J6" s="121"/>
    </row>
    <row r="7" spans="1:10" x14ac:dyDescent="0.2">
      <c r="A7" s="6" t="s">
        <v>61</v>
      </c>
      <c r="B7" s="8">
        <v>500</v>
      </c>
      <c r="C7" s="8">
        <v>600</v>
      </c>
      <c r="D7" s="8">
        <v>700</v>
      </c>
    </row>
    <row r="8" spans="1:10" ht="15" x14ac:dyDescent="0.25">
      <c r="B8" s="8"/>
      <c r="C8" s="8"/>
      <c r="D8" s="8"/>
      <c r="F8" s="122">
        <v>2</v>
      </c>
      <c r="G8" s="119" t="s">
        <v>62</v>
      </c>
      <c r="H8" s="119" t="s">
        <v>63</v>
      </c>
      <c r="I8" s="119" t="s">
        <v>64</v>
      </c>
      <c r="J8" s="118" t="s">
        <v>108</v>
      </c>
    </row>
    <row r="9" spans="1:10" x14ac:dyDescent="0.2">
      <c r="B9" s="8" t="s">
        <v>68</v>
      </c>
      <c r="C9" s="8" t="s">
        <v>69</v>
      </c>
      <c r="D9" s="8" t="s">
        <v>70</v>
      </c>
      <c r="F9" s="120" t="s">
        <v>68</v>
      </c>
      <c r="G9" s="121"/>
      <c r="H9" s="121"/>
      <c r="I9" s="121"/>
      <c r="J9" s="121"/>
    </row>
    <row r="10" spans="1:10" x14ac:dyDescent="0.2">
      <c r="A10" s="6" t="s">
        <v>71</v>
      </c>
      <c r="B10" s="9">
        <v>0.2</v>
      </c>
      <c r="C10" s="9">
        <v>0.3</v>
      </c>
      <c r="D10" s="9">
        <v>0.5</v>
      </c>
      <c r="F10" s="120" t="s">
        <v>69</v>
      </c>
      <c r="G10" s="121"/>
      <c r="H10" s="121"/>
      <c r="I10" s="121"/>
      <c r="J10" s="121"/>
    </row>
    <row r="11" spans="1:10" x14ac:dyDescent="0.2">
      <c r="B11" s="8"/>
      <c r="C11" s="8"/>
      <c r="D11" s="8"/>
      <c r="F11" s="120" t="s">
        <v>70</v>
      </c>
      <c r="G11" s="121"/>
      <c r="H11" s="121"/>
      <c r="I11" s="121"/>
      <c r="J11" s="121"/>
    </row>
    <row r="12" spans="1:10" x14ac:dyDescent="0.2">
      <c r="B12" s="8"/>
      <c r="C12" s="8"/>
      <c r="D12" s="8"/>
      <c r="F12" s="118" t="s">
        <v>108</v>
      </c>
      <c r="G12" s="121"/>
      <c r="H12" s="121"/>
      <c r="I12" s="121"/>
      <c r="J12" s="121"/>
    </row>
    <row r="13" spans="1:10" x14ac:dyDescent="0.2">
      <c r="A13" s="6" t="s">
        <v>65</v>
      </c>
      <c r="B13" s="10">
        <v>200</v>
      </c>
      <c r="C13" s="10">
        <v>300</v>
      </c>
      <c r="D13" s="10">
        <v>400</v>
      </c>
    </row>
    <row r="14" spans="1:10" ht="15" x14ac:dyDescent="0.25">
      <c r="A14" s="6" t="s">
        <v>66</v>
      </c>
      <c r="B14" s="10">
        <v>400</v>
      </c>
      <c r="C14" s="10">
        <v>600</v>
      </c>
      <c r="D14" s="10">
        <v>800</v>
      </c>
      <c r="F14" s="122">
        <v>3</v>
      </c>
      <c r="G14" s="119" t="s">
        <v>62</v>
      </c>
      <c r="H14" s="119" t="s">
        <v>63</v>
      </c>
      <c r="I14" s="119" t="s">
        <v>64</v>
      </c>
      <c r="J14" s="118" t="s">
        <v>108</v>
      </c>
    </row>
    <row r="15" spans="1:10" x14ac:dyDescent="0.2">
      <c r="B15" s="8"/>
      <c r="C15" s="8"/>
      <c r="D15" s="8"/>
      <c r="F15" s="120" t="s">
        <v>68</v>
      </c>
      <c r="G15" s="121"/>
      <c r="H15" s="121"/>
      <c r="I15" s="121"/>
      <c r="J15" s="121"/>
    </row>
    <row r="16" spans="1:10" x14ac:dyDescent="0.2">
      <c r="B16" s="8"/>
      <c r="C16" s="8"/>
      <c r="D16" s="8"/>
      <c r="F16" s="120" t="s">
        <v>69</v>
      </c>
      <c r="G16" s="121"/>
      <c r="H16" s="121"/>
      <c r="I16" s="121"/>
      <c r="J16" s="121"/>
    </row>
    <row r="17" spans="1:10" ht="15" x14ac:dyDescent="0.25">
      <c r="A17" s="17" t="s">
        <v>271</v>
      </c>
      <c r="F17" s="120" t="s">
        <v>70</v>
      </c>
      <c r="G17" s="121"/>
      <c r="H17" s="121"/>
      <c r="I17" s="121"/>
      <c r="J17" s="121"/>
    </row>
    <row r="18" spans="1:10" ht="15" x14ac:dyDescent="0.25">
      <c r="A18" s="17" t="s">
        <v>272</v>
      </c>
      <c r="F18" s="118" t="s">
        <v>108</v>
      </c>
      <c r="G18" s="121"/>
      <c r="H18" s="121"/>
      <c r="I18" s="121"/>
      <c r="J18" s="121"/>
    </row>
    <row r="19" spans="1:10" ht="15" x14ac:dyDescent="0.25">
      <c r="A19" s="17" t="s">
        <v>273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C15" sqref="C15"/>
    </sheetView>
  </sheetViews>
  <sheetFormatPr defaultRowHeight="15" x14ac:dyDescent="0.25"/>
  <cols>
    <col min="11" max="11" width="11.7109375" bestFit="1" customWidth="1"/>
    <col min="12" max="12" width="10.42578125" customWidth="1"/>
    <col min="13" max="13" width="12.42578125" bestFit="1" customWidth="1"/>
    <col min="14" max="14" width="12.5703125" bestFit="1" customWidth="1"/>
  </cols>
  <sheetData>
    <row r="1" spans="1:14" x14ac:dyDescent="0.25">
      <c r="A1" t="s">
        <v>72</v>
      </c>
      <c r="J1" s="12" t="s">
        <v>77</v>
      </c>
      <c r="K1" s="12" t="s">
        <v>81</v>
      </c>
      <c r="L1" s="12" t="s">
        <v>78</v>
      </c>
      <c r="M1" s="12" t="s">
        <v>79</v>
      </c>
      <c r="N1" s="12" t="s">
        <v>80</v>
      </c>
    </row>
    <row r="2" spans="1:14" x14ac:dyDescent="0.25">
      <c r="A2" t="s">
        <v>73</v>
      </c>
      <c r="J2" s="124">
        <v>2011</v>
      </c>
      <c r="K2" s="123"/>
      <c r="L2" s="123"/>
      <c r="M2" s="123"/>
      <c r="N2" s="123"/>
    </row>
    <row r="3" spans="1:14" x14ac:dyDescent="0.25">
      <c r="A3" t="s">
        <v>74</v>
      </c>
      <c r="J3" s="124">
        <v>2012</v>
      </c>
      <c r="K3" s="123"/>
      <c r="L3" s="123"/>
      <c r="M3" s="123"/>
      <c r="N3" s="123"/>
    </row>
    <row r="4" spans="1:14" x14ac:dyDescent="0.25">
      <c r="A4">
        <v>2011</v>
      </c>
      <c r="B4" s="11">
        <v>2.5000000000000001E-2</v>
      </c>
      <c r="J4" s="124">
        <v>2013</v>
      </c>
      <c r="K4" s="123"/>
      <c r="L4" s="123"/>
      <c r="M4" s="123"/>
      <c r="N4" s="123"/>
    </row>
    <row r="5" spans="1:14" x14ac:dyDescent="0.25">
      <c r="A5">
        <v>2012</v>
      </c>
      <c r="B5" s="11">
        <v>0.03</v>
      </c>
      <c r="J5" s="124">
        <v>2014</v>
      </c>
      <c r="K5" s="123"/>
      <c r="L5" s="123"/>
      <c r="M5" s="123"/>
      <c r="N5" s="123"/>
    </row>
    <row r="6" spans="1:14" x14ac:dyDescent="0.25">
      <c r="A6">
        <v>2013</v>
      </c>
      <c r="B6" s="11">
        <v>3.5000000000000003E-2</v>
      </c>
      <c r="J6" s="124">
        <v>2015</v>
      </c>
      <c r="K6" s="123"/>
      <c r="L6" s="123"/>
      <c r="M6" s="123"/>
      <c r="N6" s="123"/>
    </row>
    <row r="7" spans="1:14" x14ac:dyDescent="0.25">
      <c r="A7">
        <v>2014</v>
      </c>
      <c r="B7" s="11">
        <v>0.04</v>
      </c>
      <c r="J7" s="124">
        <v>2016</v>
      </c>
      <c r="K7" s="123"/>
      <c r="L7" s="123"/>
      <c r="M7" s="123"/>
      <c r="N7" s="123"/>
    </row>
    <row r="8" spans="1:14" x14ac:dyDescent="0.25">
      <c r="A8">
        <v>2015</v>
      </c>
      <c r="B8" s="11">
        <v>4.4999999999999998E-2</v>
      </c>
      <c r="J8" s="124">
        <v>2017</v>
      </c>
      <c r="K8" s="123"/>
      <c r="L8" s="123"/>
      <c r="M8" s="123"/>
      <c r="N8" s="123"/>
    </row>
    <row r="9" spans="1:14" x14ac:dyDescent="0.25">
      <c r="A9">
        <v>2016</v>
      </c>
      <c r="B9" s="11">
        <v>0.05</v>
      </c>
    </row>
    <row r="10" spans="1:14" x14ac:dyDescent="0.25">
      <c r="A10">
        <v>2017</v>
      </c>
      <c r="B10" s="11">
        <v>5.5E-2</v>
      </c>
    </row>
    <row r="11" spans="1:14" x14ac:dyDescent="0.25">
      <c r="A11" s="18" t="s">
        <v>75</v>
      </c>
    </row>
    <row r="12" spans="1:14" x14ac:dyDescent="0.25">
      <c r="A12" s="18" t="s">
        <v>76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F8" sqref="F8"/>
    </sheetView>
  </sheetViews>
  <sheetFormatPr defaultRowHeight="14.25" x14ac:dyDescent="0.2"/>
  <cols>
    <col min="1" max="1" width="36.28515625" style="6" customWidth="1"/>
    <col min="2" max="2" width="18.5703125" style="6" customWidth="1"/>
    <col min="3" max="3" width="23.7109375" style="6" customWidth="1"/>
    <col min="4" max="4" width="22.7109375" style="6" customWidth="1"/>
    <col min="5" max="5" width="12.28515625" style="6" customWidth="1"/>
    <col min="6" max="7" width="9.140625" style="6"/>
    <col min="8" max="8" width="19.7109375" style="6" bestFit="1" customWidth="1"/>
    <col min="9" max="9" width="11.28515625" style="6" customWidth="1"/>
    <col min="10" max="16384" width="9.140625" style="6"/>
  </cols>
  <sheetData>
    <row r="1" spans="1:9" ht="15" x14ac:dyDescent="0.25">
      <c r="A1" s="6" t="s">
        <v>53</v>
      </c>
      <c r="B1" s="6" t="s">
        <v>82</v>
      </c>
      <c r="I1" s="17" t="s">
        <v>283</v>
      </c>
    </row>
    <row r="2" spans="1:9" x14ac:dyDescent="0.2">
      <c r="A2" s="6" t="s">
        <v>54</v>
      </c>
      <c r="B2" s="6" t="s">
        <v>83</v>
      </c>
      <c r="H2" s="121" t="s">
        <v>90</v>
      </c>
      <c r="I2" s="121"/>
    </row>
    <row r="3" spans="1:9" x14ac:dyDescent="0.2">
      <c r="A3" s="6" t="s">
        <v>55</v>
      </c>
      <c r="B3" s="6" t="s">
        <v>84</v>
      </c>
      <c r="H3" s="121" t="s">
        <v>91</v>
      </c>
      <c r="I3" s="121"/>
    </row>
    <row r="4" spans="1:9" x14ac:dyDescent="0.2">
      <c r="A4" s="6" t="s">
        <v>85</v>
      </c>
      <c r="B4" s="6" t="s">
        <v>86</v>
      </c>
      <c r="C4" s="6" t="s">
        <v>89</v>
      </c>
      <c r="D4" s="6" t="s">
        <v>87</v>
      </c>
      <c r="E4" s="6" t="s">
        <v>88</v>
      </c>
      <c r="H4" s="121" t="s">
        <v>92</v>
      </c>
      <c r="I4" s="121"/>
    </row>
    <row r="5" spans="1:9" x14ac:dyDescent="0.2">
      <c r="A5" s="7" t="s">
        <v>281</v>
      </c>
      <c r="B5" s="7"/>
      <c r="C5" s="7"/>
      <c r="D5" s="7"/>
      <c r="H5" s="121" t="s">
        <v>93</v>
      </c>
      <c r="I5" s="121"/>
    </row>
    <row r="6" spans="1:9" x14ac:dyDescent="0.2">
      <c r="B6" s="8"/>
      <c r="C6" s="8"/>
      <c r="D6" s="8"/>
    </row>
    <row r="7" spans="1:9" ht="15" x14ac:dyDescent="0.25">
      <c r="A7" s="15" t="s">
        <v>94</v>
      </c>
      <c r="B7" s="8" t="s">
        <v>86</v>
      </c>
      <c r="C7" s="8" t="s">
        <v>89</v>
      </c>
      <c r="D7" s="8" t="s">
        <v>87</v>
      </c>
      <c r="E7" s="8" t="s">
        <v>88</v>
      </c>
    </row>
    <row r="8" spans="1:9" ht="15" x14ac:dyDescent="0.25">
      <c r="A8" s="13" t="s">
        <v>90</v>
      </c>
      <c r="B8" s="14">
        <v>500</v>
      </c>
      <c r="C8" s="14">
        <v>250</v>
      </c>
      <c r="D8" s="14">
        <v>100</v>
      </c>
      <c r="E8" s="14">
        <v>150</v>
      </c>
      <c r="F8" s="17"/>
    </row>
    <row r="9" spans="1:9" ht="15" x14ac:dyDescent="0.25">
      <c r="A9" s="13" t="s">
        <v>91</v>
      </c>
      <c r="B9" s="14">
        <v>400</v>
      </c>
      <c r="C9" s="14">
        <v>300</v>
      </c>
      <c r="D9" s="14">
        <v>200</v>
      </c>
      <c r="E9" s="14">
        <v>100</v>
      </c>
      <c r="F9" s="17"/>
    </row>
    <row r="10" spans="1:9" ht="15" x14ac:dyDescent="0.25">
      <c r="A10" s="13" t="s">
        <v>92</v>
      </c>
      <c r="B10" s="14">
        <v>300</v>
      </c>
      <c r="C10" s="14">
        <v>250</v>
      </c>
      <c r="D10" s="14">
        <v>200</v>
      </c>
      <c r="E10" s="14">
        <v>250</v>
      </c>
      <c r="F10" s="17"/>
    </row>
    <row r="11" spans="1:9" ht="15" x14ac:dyDescent="0.25">
      <c r="A11" s="13" t="s">
        <v>93</v>
      </c>
      <c r="B11" s="14">
        <v>280</v>
      </c>
      <c r="C11" s="14">
        <v>0</v>
      </c>
      <c r="D11" s="14">
        <v>220</v>
      </c>
      <c r="E11" s="14">
        <v>500</v>
      </c>
      <c r="F11" s="17"/>
    </row>
    <row r="12" spans="1:9" x14ac:dyDescent="0.2">
      <c r="B12" s="8"/>
      <c r="C12" s="8"/>
      <c r="D12" s="8"/>
      <c r="E12" s="8"/>
    </row>
    <row r="13" spans="1:9" x14ac:dyDescent="0.2">
      <c r="A13" s="6" t="s">
        <v>95</v>
      </c>
      <c r="B13" s="8" t="s">
        <v>86</v>
      </c>
      <c r="C13" s="8" t="s">
        <v>89</v>
      </c>
      <c r="D13" s="8" t="s">
        <v>87</v>
      </c>
      <c r="E13" s="8" t="s">
        <v>88</v>
      </c>
    </row>
    <row r="14" spans="1:9" x14ac:dyDescent="0.2">
      <c r="B14" s="16">
        <v>5</v>
      </c>
      <c r="C14" s="16">
        <v>8</v>
      </c>
      <c r="D14" s="16">
        <v>11</v>
      </c>
      <c r="E14" s="16">
        <v>14</v>
      </c>
    </row>
    <row r="16" spans="1:9" ht="15" x14ac:dyDescent="0.25">
      <c r="A16" s="17" t="s">
        <v>282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opLeftCell="A16" workbookViewId="0">
      <selection activeCell="A25" sqref="A25"/>
    </sheetView>
  </sheetViews>
  <sheetFormatPr defaultRowHeight="15" x14ac:dyDescent="0.25"/>
  <cols>
    <col min="2" max="2" width="25.140625" customWidth="1"/>
    <col min="3" max="3" width="24.140625" customWidth="1"/>
    <col min="4" max="4" width="18.28515625" customWidth="1"/>
  </cols>
  <sheetData>
    <row r="1" spans="1:4" x14ac:dyDescent="0.25">
      <c r="A1" t="s">
        <v>96</v>
      </c>
    </row>
    <row r="2" spans="1:4" ht="15.75" thickBot="1" x14ac:dyDescent="0.3"/>
    <row r="3" spans="1:4" ht="15.75" thickBot="1" x14ac:dyDescent="0.3">
      <c r="A3" s="1" t="s">
        <v>0</v>
      </c>
      <c r="B3" s="1" t="s">
        <v>1</v>
      </c>
      <c r="C3" s="1" t="s">
        <v>2</v>
      </c>
      <c r="D3" s="1" t="s">
        <v>3</v>
      </c>
    </row>
    <row r="4" spans="1:4" ht="15.75" thickBot="1" x14ac:dyDescent="0.3">
      <c r="A4" s="2">
        <v>1</v>
      </c>
      <c r="B4" t="s">
        <v>4</v>
      </c>
      <c r="C4" t="s">
        <v>5</v>
      </c>
      <c r="D4" s="2" t="s">
        <v>6</v>
      </c>
    </row>
    <row r="5" spans="1:4" ht="15.75" thickBot="1" x14ac:dyDescent="0.3">
      <c r="A5" s="2">
        <v>2</v>
      </c>
      <c r="B5" t="s">
        <v>7</v>
      </c>
      <c r="C5" t="s">
        <v>8</v>
      </c>
      <c r="D5" s="2" t="s">
        <v>9</v>
      </c>
    </row>
    <row r="6" spans="1:4" ht="15.75" thickBot="1" x14ac:dyDescent="0.3">
      <c r="A6" s="2">
        <v>3</v>
      </c>
      <c r="B6" t="s">
        <v>10</v>
      </c>
      <c r="C6" t="s">
        <v>11</v>
      </c>
      <c r="D6" s="2" t="s">
        <v>12</v>
      </c>
    </row>
    <row r="7" spans="1:4" ht="15.75" thickBot="1" x14ac:dyDescent="0.3">
      <c r="A7" s="5">
        <v>4</v>
      </c>
      <c r="B7" t="s">
        <v>13</v>
      </c>
      <c r="C7" t="s">
        <v>14</v>
      </c>
      <c r="D7" s="4" t="s">
        <v>15</v>
      </c>
    </row>
    <row r="8" spans="1:4" ht="15.75" thickBot="1" x14ac:dyDescent="0.3">
      <c r="A8" s="2">
        <v>5</v>
      </c>
      <c r="B8" t="s">
        <v>16</v>
      </c>
      <c r="C8" t="s">
        <v>14</v>
      </c>
      <c r="D8" s="2" t="s">
        <v>17</v>
      </c>
    </row>
    <row r="9" spans="1:4" ht="15.75" thickBot="1" x14ac:dyDescent="0.3">
      <c r="A9" s="2">
        <v>6</v>
      </c>
      <c r="B9" t="s">
        <v>18</v>
      </c>
      <c r="C9" t="s">
        <v>5</v>
      </c>
      <c r="D9" s="2" t="s">
        <v>19</v>
      </c>
    </row>
    <row r="10" spans="1:4" ht="15.75" thickBot="1" x14ac:dyDescent="0.3">
      <c r="A10" s="2">
        <v>7</v>
      </c>
      <c r="B10" t="s">
        <v>20</v>
      </c>
      <c r="C10" t="s">
        <v>5</v>
      </c>
      <c r="D10" s="2" t="s">
        <v>21</v>
      </c>
    </row>
    <row r="11" spans="1:4" ht="15.75" thickBot="1" x14ac:dyDescent="0.3">
      <c r="A11" s="2">
        <v>8</v>
      </c>
      <c r="B11" t="s">
        <v>22</v>
      </c>
      <c r="C11" s="3" t="s">
        <v>23</v>
      </c>
      <c r="D11" s="2" t="s">
        <v>24</v>
      </c>
    </row>
    <row r="12" spans="1:4" ht="15.75" thickBot="1" x14ac:dyDescent="0.3">
      <c r="A12" s="2">
        <v>9</v>
      </c>
      <c r="B12" t="s">
        <v>25</v>
      </c>
      <c r="C12" t="s">
        <v>26</v>
      </c>
      <c r="D12" s="2" t="s">
        <v>27</v>
      </c>
    </row>
    <row r="13" spans="1:4" ht="15.75" thickBot="1" x14ac:dyDescent="0.3">
      <c r="A13" s="2">
        <v>10</v>
      </c>
      <c r="B13" t="s">
        <v>28</v>
      </c>
      <c r="C13" t="s">
        <v>26</v>
      </c>
      <c r="D13" s="2" t="s">
        <v>29</v>
      </c>
    </row>
    <row r="14" spans="1:4" ht="15.75" thickBot="1" x14ac:dyDescent="0.3">
      <c r="A14" s="2">
        <v>11</v>
      </c>
      <c r="B14" t="s">
        <v>30</v>
      </c>
      <c r="C14" t="s">
        <v>5</v>
      </c>
      <c r="D14" s="2" t="s">
        <v>31</v>
      </c>
    </row>
    <row r="15" spans="1:4" ht="15.75" thickBot="1" x14ac:dyDescent="0.3">
      <c r="A15" s="2">
        <v>12</v>
      </c>
      <c r="B15" t="s">
        <v>32</v>
      </c>
      <c r="C15" t="s">
        <v>33</v>
      </c>
      <c r="D15" s="2" t="s">
        <v>34</v>
      </c>
    </row>
    <row r="16" spans="1:4" ht="15.75" thickBot="1" x14ac:dyDescent="0.3">
      <c r="A16" s="2">
        <v>13</v>
      </c>
      <c r="B16" t="s">
        <v>35</v>
      </c>
      <c r="C16" t="s">
        <v>8</v>
      </c>
      <c r="D16" s="2" t="s">
        <v>36</v>
      </c>
    </row>
    <row r="17" spans="1:4" ht="15.75" thickBot="1" x14ac:dyDescent="0.3">
      <c r="A17" s="2">
        <v>14</v>
      </c>
      <c r="B17" t="s">
        <v>37</v>
      </c>
      <c r="C17" t="s">
        <v>8</v>
      </c>
      <c r="D17" s="2" t="s">
        <v>38</v>
      </c>
    </row>
    <row r="18" spans="1:4" ht="15.75" thickBot="1" x14ac:dyDescent="0.3">
      <c r="A18" s="2">
        <v>15</v>
      </c>
      <c r="B18" t="s">
        <v>39</v>
      </c>
      <c r="C18" t="s">
        <v>33</v>
      </c>
      <c r="D18" s="2" t="s">
        <v>40</v>
      </c>
    </row>
    <row r="19" spans="1:4" ht="15.75" thickBot="1" x14ac:dyDescent="0.3">
      <c r="A19" s="2">
        <v>16</v>
      </c>
      <c r="B19" t="s">
        <v>41</v>
      </c>
      <c r="C19" t="s">
        <v>5</v>
      </c>
      <c r="D19" s="2" t="s">
        <v>42</v>
      </c>
    </row>
    <row r="20" spans="1:4" ht="15.75" thickBot="1" x14ac:dyDescent="0.3">
      <c r="A20" s="2">
        <v>17</v>
      </c>
      <c r="B20" t="s">
        <v>43</v>
      </c>
      <c r="C20" t="s">
        <v>33</v>
      </c>
      <c r="D20" s="2" t="s">
        <v>44</v>
      </c>
    </row>
    <row r="21" spans="1:4" ht="15.75" thickBot="1" x14ac:dyDescent="0.3">
      <c r="A21" s="2">
        <v>18</v>
      </c>
      <c r="B21" t="s">
        <v>45</v>
      </c>
      <c r="C21" t="s">
        <v>33</v>
      </c>
      <c r="D21" s="2" t="s">
        <v>46</v>
      </c>
    </row>
    <row r="22" spans="1:4" ht="15.75" thickBot="1" x14ac:dyDescent="0.3">
      <c r="A22" s="2">
        <v>19</v>
      </c>
      <c r="B22" t="s">
        <v>47</v>
      </c>
      <c r="C22" t="s">
        <v>33</v>
      </c>
      <c r="D22" s="2" t="s">
        <v>48</v>
      </c>
    </row>
    <row r="23" spans="1:4" ht="15.75" thickBot="1" x14ac:dyDescent="0.3">
      <c r="A23" s="2">
        <v>20</v>
      </c>
      <c r="B23" t="s">
        <v>49</v>
      </c>
      <c r="C23" t="s">
        <v>33</v>
      </c>
      <c r="D23" s="2" t="s">
        <v>50</v>
      </c>
    </row>
    <row r="25" spans="1:4" x14ac:dyDescent="0.25">
      <c r="A25" s="18" t="s">
        <v>274</v>
      </c>
    </row>
    <row r="26" spans="1:4" x14ac:dyDescent="0.25">
      <c r="B26" t="s">
        <v>14</v>
      </c>
      <c r="C26" s="19"/>
    </row>
    <row r="27" spans="1:4" x14ac:dyDescent="0.25">
      <c r="B27" t="s">
        <v>33</v>
      </c>
      <c r="C27" s="19"/>
    </row>
    <row r="28" spans="1:4" x14ac:dyDescent="0.25">
      <c r="B28" t="s">
        <v>8</v>
      </c>
      <c r="C28" s="19"/>
    </row>
    <row r="29" spans="1:4" x14ac:dyDescent="0.25">
      <c r="B29" t="s">
        <v>5</v>
      </c>
      <c r="C29" s="19"/>
    </row>
    <row r="30" spans="1:4" x14ac:dyDescent="0.25">
      <c r="B30" t="s">
        <v>26</v>
      </c>
      <c r="C30" s="19"/>
    </row>
    <row r="31" spans="1:4" x14ac:dyDescent="0.25">
      <c r="B31" t="s">
        <v>11</v>
      </c>
      <c r="C31" s="19"/>
    </row>
    <row r="32" spans="1:4" x14ac:dyDescent="0.25">
      <c r="B32" s="125" t="s">
        <v>108</v>
      </c>
      <c r="C32" s="12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8" sqref="A8:I8"/>
    </sheetView>
  </sheetViews>
  <sheetFormatPr defaultRowHeight="15" x14ac:dyDescent="0.25"/>
  <cols>
    <col min="1" max="1" width="11.42578125" customWidth="1"/>
  </cols>
  <sheetData>
    <row r="1" spans="1:9" x14ac:dyDescent="0.25">
      <c r="A1" s="21" t="s">
        <v>97</v>
      </c>
    </row>
    <row r="3" spans="1:9" x14ac:dyDescent="0.25">
      <c r="A3" s="21" t="s">
        <v>98</v>
      </c>
    </row>
    <row r="4" spans="1:9" x14ac:dyDescent="0.25">
      <c r="A4" s="98" t="s">
        <v>99</v>
      </c>
      <c r="B4" s="98"/>
      <c r="C4" s="98"/>
      <c r="D4" s="98"/>
      <c r="E4" s="98"/>
      <c r="F4" s="98"/>
      <c r="G4" s="98"/>
      <c r="H4" s="98"/>
      <c r="I4" s="98"/>
    </row>
    <row r="5" spans="1:9" x14ac:dyDescent="0.25">
      <c r="A5" s="99" t="s">
        <v>100</v>
      </c>
      <c r="B5" s="98"/>
      <c r="C5" s="98"/>
      <c r="D5" s="98"/>
      <c r="E5" s="98"/>
      <c r="F5" s="98"/>
      <c r="G5" s="98"/>
      <c r="H5" s="98"/>
      <c r="I5" s="98"/>
    </row>
    <row r="6" spans="1:9" ht="33" customHeight="1" x14ac:dyDescent="0.25">
      <c r="A6" s="100" t="s">
        <v>101</v>
      </c>
      <c r="B6" s="101"/>
      <c r="C6" s="101"/>
      <c r="D6" s="101"/>
      <c r="E6" s="101"/>
      <c r="F6" s="101"/>
      <c r="G6" s="101"/>
      <c r="H6" s="101"/>
      <c r="I6" s="101"/>
    </row>
    <row r="7" spans="1:9" ht="50.25" customHeight="1" x14ac:dyDescent="0.25">
      <c r="A7" s="101" t="s">
        <v>102</v>
      </c>
      <c r="B7" s="101"/>
      <c r="C7" s="101"/>
      <c r="D7" s="101"/>
      <c r="E7" s="101"/>
      <c r="F7" s="101"/>
      <c r="G7" s="101"/>
      <c r="H7" s="101"/>
      <c r="I7" s="101"/>
    </row>
    <row r="8" spans="1:9" ht="22.5" customHeight="1" x14ac:dyDescent="0.25">
      <c r="A8" s="130" t="s">
        <v>103</v>
      </c>
      <c r="B8" s="131"/>
      <c r="C8" s="131"/>
      <c r="D8" s="131"/>
      <c r="E8" s="131"/>
      <c r="F8" s="131"/>
      <c r="G8" s="131"/>
      <c r="H8" s="131"/>
      <c r="I8" s="131"/>
    </row>
    <row r="11" spans="1:9" x14ac:dyDescent="0.25">
      <c r="A11" t="s">
        <v>104</v>
      </c>
      <c r="C11" s="22" t="s">
        <v>52</v>
      </c>
      <c r="D11" s="22" t="s">
        <v>105</v>
      </c>
      <c r="E11" s="22" t="s">
        <v>51</v>
      </c>
      <c r="F11" s="22" t="s">
        <v>106</v>
      </c>
      <c r="G11" s="22" t="s">
        <v>107</v>
      </c>
      <c r="H11" s="23" t="s">
        <v>108</v>
      </c>
    </row>
    <row r="12" spans="1:9" x14ac:dyDescent="0.25">
      <c r="A12" t="s">
        <v>109</v>
      </c>
      <c r="C12" s="24">
        <v>30</v>
      </c>
      <c r="D12" s="24">
        <v>40</v>
      </c>
      <c r="E12" s="24">
        <v>50</v>
      </c>
      <c r="F12" s="24">
        <v>80</v>
      </c>
      <c r="G12" s="24">
        <v>100</v>
      </c>
      <c r="H12" s="25"/>
    </row>
    <row r="13" spans="1:9" x14ac:dyDescent="0.25">
      <c r="A13" t="s">
        <v>110</v>
      </c>
      <c r="C13" s="24">
        <v>2</v>
      </c>
      <c r="D13" s="24">
        <v>3</v>
      </c>
      <c r="E13" s="24">
        <v>4</v>
      </c>
      <c r="F13" s="24">
        <v>4</v>
      </c>
      <c r="G13" s="24">
        <v>5</v>
      </c>
      <c r="H13" s="25"/>
    </row>
    <row r="14" spans="1:9" x14ac:dyDescent="0.25">
      <c r="A14" t="s">
        <v>111</v>
      </c>
      <c r="B14" s="20">
        <v>1000</v>
      </c>
      <c r="C14" s="26"/>
      <c r="D14" s="26"/>
      <c r="E14" s="26"/>
      <c r="F14" s="26"/>
      <c r="G14" s="27"/>
      <c r="H14" s="28"/>
    </row>
    <row r="15" spans="1:9" x14ac:dyDescent="0.25">
      <c r="A15" t="s">
        <v>112</v>
      </c>
      <c r="B15" s="20">
        <v>500</v>
      </c>
      <c r="C15" s="26"/>
      <c r="D15" s="26"/>
      <c r="E15" s="26"/>
      <c r="F15" s="26"/>
      <c r="G15" s="27"/>
      <c r="H15" s="28"/>
    </row>
    <row r="16" spans="1:9" x14ac:dyDescent="0.25">
      <c r="A16" t="s">
        <v>113</v>
      </c>
      <c r="B16" s="20">
        <v>600</v>
      </c>
      <c r="C16" s="26"/>
      <c r="D16" s="26"/>
      <c r="E16" s="26"/>
      <c r="F16" s="26"/>
      <c r="G16" s="27"/>
      <c r="H16" s="28"/>
    </row>
    <row r="17" spans="1:8" x14ac:dyDescent="0.25">
      <c r="A17" t="s">
        <v>108</v>
      </c>
      <c r="B17" s="29"/>
      <c r="C17" s="26"/>
      <c r="D17" s="26"/>
      <c r="E17" s="26"/>
      <c r="F17" s="26"/>
      <c r="G17" s="27"/>
      <c r="H17" s="28"/>
    </row>
  </sheetData>
  <mergeCells count="5">
    <mergeCell ref="A4:I4"/>
    <mergeCell ref="A5:I5"/>
    <mergeCell ref="A6:I6"/>
    <mergeCell ref="A7:I7"/>
    <mergeCell ref="A8:I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B19" sqref="B19"/>
    </sheetView>
  </sheetViews>
  <sheetFormatPr defaultColWidth="11" defaultRowHeight="15" x14ac:dyDescent="0.25"/>
  <cols>
    <col min="1" max="1" width="13" customWidth="1"/>
    <col min="2" max="6" width="11" customWidth="1"/>
    <col min="7" max="7" width="15.140625" bestFit="1" customWidth="1"/>
    <col min="8" max="8" width="13.85546875" bestFit="1" customWidth="1"/>
  </cols>
  <sheetData>
    <row r="1" spans="1:8" x14ac:dyDescent="0.25">
      <c r="A1" s="30" t="s">
        <v>114</v>
      </c>
    </row>
    <row r="2" spans="1:8" x14ac:dyDescent="0.25">
      <c r="A2" t="s">
        <v>115</v>
      </c>
    </row>
    <row r="3" spans="1:8" x14ac:dyDescent="0.25">
      <c r="A3" t="s">
        <v>116</v>
      </c>
    </row>
    <row r="5" spans="1:8" x14ac:dyDescent="0.25">
      <c r="B5" t="s">
        <v>117</v>
      </c>
      <c r="C5" t="s">
        <v>118</v>
      </c>
      <c r="D5" t="s">
        <v>119</v>
      </c>
      <c r="E5" t="s">
        <v>120</v>
      </c>
      <c r="F5" t="s">
        <v>108</v>
      </c>
      <c r="G5" s="143" t="s">
        <v>121</v>
      </c>
      <c r="H5" s="143" t="s">
        <v>134</v>
      </c>
    </row>
    <row r="6" spans="1:8" x14ac:dyDescent="0.25">
      <c r="A6" t="s">
        <v>63</v>
      </c>
      <c r="B6" s="24">
        <v>50</v>
      </c>
      <c r="C6" s="24">
        <v>20</v>
      </c>
      <c r="D6" s="24">
        <v>30</v>
      </c>
      <c r="E6" s="24">
        <v>40</v>
      </c>
      <c r="F6" s="24">
        <f>SUM(B6:E6)</f>
        <v>140</v>
      </c>
      <c r="G6" s="31">
        <v>1000</v>
      </c>
      <c r="H6" s="31">
        <v>450</v>
      </c>
    </row>
    <row r="7" spans="1:8" x14ac:dyDescent="0.25">
      <c r="A7" t="s">
        <v>62</v>
      </c>
      <c r="B7" s="24">
        <v>40</v>
      </c>
      <c r="C7" s="24">
        <v>10</v>
      </c>
      <c r="D7" s="24">
        <v>15</v>
      </c>
      <c r="E7" s="24">
        <v>25</v>
      </c>
      <c r="F7" s="24">
        <f>SUM(B7:E7)</f>
        <v>90</v>
      </c>
      <c r="G7" s="31">
        <v>1200</v>
      </c>
      <c r="H7" s="31">
        <v>520</v>
      </c>
    </row>
    <row r="8" spans="1:8" x14ac:dyDescent="0.25">
      <c r="A8" t="s">
        <v>64</v>
      </c>
      <c r="B8" s="24">
        <v>30</v>
      </c>
      <c r="C8" s="24">
        <v>20</v>
      </c>
      <c r="D8" s="24">
        <v>15</v>
      </c>
      <c r="E8" s="24">
        <v>25</v>
      </c>
      <c r="F8" s="24">
        <f>SUM(B8:E8)</f>
        <v>90</v>
      </c>
      <c r="G8" s="31">
        <v>1500</v>
      </c>
      <c r="H8" s="31">
        <v>830</v>
      </c>
    </row>
    <row r="9" spans="1:8" x14ac:dyDescent="0.25">
      <c r="A9" t="s">
        <v>108</v>
      </c>
      <c r="B9" s="24">
        <f>SUM(B6:B8)</f>
        <v>120</v>
      </c>
      <c r="C9" s="24">
        <f>SUM(C6:C8)</f>
        <v>50</v>
      </c>
      <c r="D9" s="24">
        <f>SUM(D6:D8)</f>
        <v>60</v>
      </c>
      <c r="E9" s="24">
        <f>SUM(E6:E8)</f>
        <v>90</v>
      </c>
      <c r="F9" s="24">
        <f>SUM(F6:F8)</f>
        <v>320</v>
      </c>
    </row>
    <row r="10" spans="1:8" x14ac:dyDescent="0.25">
      <c r="A10" s="36" t="s">
        <v>284</v>
      </c>
    </row>
    <row r="11" spans="1:8" x14ac:dyDescent="0.25">
      <c r="A11" s="32"/>
    </row>
    <row r="12" spans="1:8" x14ac:dyDescent="0.25">
      <c r="B12" t="s">
        <v>117</v>
      </c>
      <c r="C12" t="s">
        <v>118</v>
      </c>
      <c r="D12" t="s">
        <v>119</v>
      </c>
      <c r="E12" t="s">
        <v>120</v>
      </c>
      <c r="F12" t="s">
        <v>108</v>
      </c>
    </row>
    <row r="13" spans="1:8" x14ac:dyDescent="0.25">
      <c r="A13" t="s">
        <v>63</v>
      </c>
      <c r="B13" s="33"/>
      <c r="C13" s="33"/>
      <c r="D13" s="33"/>
      <c r="E13" s="33"/>
      <c r="F13" s="34"/>
    </row>
    <row r="14" spans="1:8" x14ac:dyDescent="0.25">
      <c r="A14" t="s">
        <v>62</v>
      </c>
      <c r="B14" s="33"/>
      <c r="C14" s="33"/>
      <c r="D14" s="33"/>
      <c r="E14" s="33"/>
      <c r="F14" s="34"/>
    </row>
    <row r="15" spans="1:8" x14ac:dyDescent="0.25">
      <c r="A15" t="s">
        <v>64</v>
      </c>
      <c r="B15" s="33"/>
      <c r="C15" s="33"/>
      <c r="D15" s="33"/>
      <c r="E15" s="33"/>
      <c r="F15" s="34"/>
    </row>
    <row r="16" spans="1:8" x14ac:dyDescent="0.25">
      <c r="A16" t="s">
        <v>108</v>
      </c>
      <c r="B16" s="33"/>
      <c r="C16" s="33"/>
      <c r="D16" s="33"/>
      <c r="E16" s="33"/>
      <c r="F16" s="3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A31" workbookViewId="0">
      <selection activeCell="A23" sqref="A23"/>
    </sheetView>
  </sheetViews>
  <sheetFormatPr defaultRowHeight="15" x14ac:dyDescent="0.25"/>
  <cols>
    <col min="1" max="1" width="21.5703125" customWidth="1"/>
    <col min="2" max="2" width="14.42578125" customWidth="1"/>
    <col min="3" max="3" width="12.5703125" customWidth="1"/>
    <col min="4" max="4" width="12.7109375" bestFit="1" customWidth="1"/>
    <col min="5" max="5" width="11.5703125" bestFit="1" customWidth="1"/>
    <col min="6" max="6" width="11.140625" bestFit="1" customWidth="1"/>
  </cols>
  <sheetData>
    <row r="1" spans="1:13" x14ac:dyDescent="0.25">
      <c r="B1" s="38" t="s">
        <v>122</v>
      </c>
      <c r="C1" s="38" t="s">
        <v>123</v>
      </c>
      <c r="D1" s="38" t="s">
        <v>124</v>
      </c>
      <c r="E1" s="38" t="s">
        <v>125</v>
      </c>
      <c r="F1" s="38" t="s">
        <v>126</v>
      </c>
      <c r="G1" s="38" t="s">
        <v>127</v>
      </c>
      <c r="H1" s="38" t="s">
        <v>128</v>
      </c>
      <c r="I1" s="38" t="s">
        <v>129</v>
      </c>
      <c r="J1" s="38" t="s">
        <v>130</v>
      </c>
      <c r="K1" s="38" t="s">
        <v>131</v>
      </c>
      <c r="L1" s="38" t="s">
        <v>132</v>
      </c>
      <c r="M1" s="38" t="s">
        <v>133</v>
      </c>
    </row>
    <row r="2" spans="1:13" x14ac:dyDescent="0.25">
      <c r="A2" t="s">
        <v>121</v>
      </c>
      <c r="B2" s="31">
        <v>5000</v>
      </c>
      <c r="C2" s="31">
        <v>5100</v>
      </c>
      <c r="D2" s="31">
        <v>5200</v>
      </c>
      <c r="E2" s="31">
        <v>5300</v>
      </c>
      <c r="F2" s="31">
        <v>5400</v>
      </c>
      <c r="G2" s="31">
        <v>5500</v>
      </c>
      <c r="H2" s="31">
        <v>5600</v>
      </c>
      <c r="I2" s="31">
        <v>5700</v>
      </c>
      <c r="J2" s="31">
        <v>5800</v>
      </c>
      <c r="K2" s="31">
        <v>5900</v>
      </c>
      <c r="L2" s="31">
        <v>6000</v>
      </c>
      <c r="M2" s="31">
        <v>6100</v>
      </c>
    </row>
    <row r="3" spans="1:13" x14ac:dyDescent="0.25">
      <c r="A3" s="39" t="s">
        <v>135</v>
      </c>
      <c r="B3" s="37"/>
      <c r="C3" s="37"/>
      <c r="D3" s="37"/>
      <c r="E3" s="37"/>
      <c r="F3" s="37"/>
      <c r="G3" s="37"/>
      <c r="H3" s="37"/>
      <c r="I3" s="37"/>
      <c r="J3" s="37"/>
      <c r="K3" s="37"/>
      <c r="L3" s="37"/>
      <c r="M3" s="37"/>
    </row>
    <row r="4" spans="1:13" x14ac:dyDescent="0.25">
      <c r="A4" t="s">
        <v>136</v>
      </c>
      <c r="B4" s="37">
        <v>1000</v>
      </c>
      <c r="C4" s="37">
        <v>1100</v>
      </c>
      <c r="D4" s="37">
        <v>1200</v>
      </c>
      <c r="E4" s="37">
        <v>1300</v>
      </c>
      <c r="F4" s="37">
        <v>1400</v>
      </c>
      <c r="G4" s="37">
        <v>1500</v>
      </c>
      <c r="H4" s="37">
        <v>1600</v>
      </c>
      <c r="I4" s="37">
        <v>1700</v>
      </c>
      <c r="J4" s="37">
        <v>1800</v>
      </c>
      <c r="K4" s="37">
        <v>1900</v>
      </c>
      <c r="L4" s="37">
        <v>2000</v>
      </c>
      <c r="M4" s="37">
        <v>2100</v>
      </c>
    </row>
    <row r="5" spans="1:13" x14ac:dyDescent="0.25">
      <c r="A5" t="s">
        <v>137</v>
      </c>
      <c r="B5" s="37">
        <v>950</v>
      </c>
      <c r="C5" s="37">
        <v>990</v>
      </c>
      <c r="D5" s="37">
        <v>1030</v>
      </c>
      <c r="E5" s="37">
        <v>1070</v>
      </c>
      <c r="F5" s="37">
        <v>1110</v>
      </c>
      <c r="G5" s="37">
        <v>1150</v>
      </c>
      <c r="H5" s="37">
        <v>1190</v>
      </c>
      <c r="I5" s="37">
        <v>1230</v>
      </c>
      <c r="J5" s="37">
        <v>1270</v>
      </c>
      <c r="K5" s="37">
        <v>1310</v>
      </c>
      <c r="L5" s="37">
        <v>1350</v>
      </c>
      <c r="M5" s="37">
        <v>1390</v>
      </c>
    </row>
    <row r="6" spans="1:13" x14ac:dyDescent="0.25">
      <c r="A6" t="s">
        <v>138</v>
      </c>
      <c r="B6" s="37">
        <v>900</v>
      </c>
      <c r="C6" s="37">
        <v>930</v>
      </c>
      <c r="D6" s="37">
        <v>960</v>
      </c>
      <c r="E6" s="37">
        <v>990</v>
      </c>
      <c r="F6" s="37">
        <v>1020</v>
      </c>
      <c r="G6" s="37">
        <v>1050</v>
      </c>
      <c r="H6" s="37">
        <v>1080</v>
      </c>
      <c r="I6" s="37">
        <v>1110</v>
      </c>
      <c r="J6" s="37">
        <v>1140</v>
      </c>
      <c r="K6" s="37">
        <v>1170</v>
      </c>
      <c r="L6" s="37">
        <v>1200</v>
      </c>
      <c r="M6" s="37">
        <v>1230</v>
      </c>
    </row>
    <row r="7" spans="1:13" x14ac:dyDescent="0.25">
      <c r="A7" t="s">
        <v>139</v>
      </c>
      <c r="B7" s="37">
        <v>850</v>
      </c>
      <c r="C7" s="37">
        <v>880</v>
      </c>
      <c r="D7" s="37">
        <v>910</v>
      </c>
      <c r="E7" s="37">
        <v>940</v>
      </c>
      <c r="F7" s="37">
        <v>970</v>
      </c>
      <c r="G7" s="37">
        <v>1000</v>
      </c>
      <c r="H7" s="37">
        <v>1030</v>
      </c>
      <c r="I7" s="37">
        <v>1060</v>
      </c>
      <c r="J7" s="37">
        <v>1090</v>
      </c>
      <c r="K7" s="37">
        <v>1120</v>
      </c>
      <c r="L7" s="37">
        <v>1150</v>
      </c>
      <c r="M7" s="37">
        <v>1180</v>
      </c>
    </row>
    <row r="8" spans="1:13" x14ac:dyDescent="0.25">
      <c r="A8" t="s">
        <v>140</v>
      </c>
      <c r="B8" s="37">
        <v>800</v>
      </c>
      <c r="C8" s="37">
        <v>820</v>
      </c>
      <c r="D8" s="37">
        <v>840</v>
      </c>
      <c r="E8" s="37">
        <v>860</v>
      </c>
      <c r="F8" s="37">
        <v>880</v>
      </c>
      <c r="G8" s="37">
        <v>900</v>
      </c>
      <c r="H8" s="37">
        <v>920</v>
      </c>
      <c r="I8" s="37">
        <v>940</v>
      </c>
      <c r="J8" s="37">
        <v>960</v>
      </c>
      <c r="K8" s="37">
        <v>980</v>
      </c>
      <c r="L8" s="37">
        <v>1000</v>
      </c>
      <c r="M8" s="37">
        <v>1020</v>
      </c>
    </row>
    <row r="9" spans="1:13" x14ac:dyDescent="0.25">
      <c r="A9" t="s">
        <v>141</v>
      </c>
      <c r="B9" s="37">
        <v>750</v>
      </c>
      <c r="C9" s="37">
        <v>770</v>
      </c>
      <c r="D9" s="37">
        <v>790</v>
      </c>
      <c r="E9" s="37">
        <v>810</v>
      </c>
      <c r="F9" s="37">
        <v>830</v>
      </c>
      <c r="G9" s="37">
        <v>850</v>
      </c>
      <c r="H9" s="37">
        <v>870</v>
      </c>
      <c r="I9" s="37">
        <v>890</v>
      </c>
      <c r="J9" s="37">
        <v>910</v>
      </c>
      <c r="K9" s="37">
        <v>930</v>
      </c>
      <c r="L9" s="37">
        <v>950</v>
      </c>
      <c r="M9" s="37">
        <v>970</v>
      </c>
    </row>
    <row r="10" spans="1:13" x14ac:dyDescent="0.25">
      <c r="A10" t="s">
        <v>142</v>
      </c>
      <c r="B10" s="37">
        <v>700</v>
      </c>
      <c r="C10" s="37">
        <v>750</v>
      </c>
      <c r="D10" s="37">
        <v>800</v>
      </c>
      <c r="E10" s="37">
        <v>850</v>
      </c>
      <c r="F10" s="37">
        <v>900</v>
      </c>
      <c r="G10" s="37">
        <v>950</v>
      </c>
      <c r="H10" s="37">
        <v>1000</v>
      </c>
      <c r="I10" s="37">
        <v>1050</v>
      </c>
      <c r="J10" s="37">
        <v>1100</v>
      </c>
      <c r="K10" s="37">
        <v>1150</v>
      </c>
      <c r="L10" s="37">
        <v>1200</v>
      </c>
      <c r="M10" s="37">
        <v>1250</v>
      </c>
    </row>
    <row r="11" spans="1:13" x14ac:dyDescent="0.25">
      <c r="A11" t="s">
        <v>143</v>
      </c>
      <c r="B11" s="37">
        <v>650</v>
      </c>
      <c r="C11" s="37">
        <v>660</v>
      </c>
      <c r="D11" s="37">
        <v>670</v>
      </c>
      <c r="E11" s="37">
        <v>680</v>
      </c>
      <c r="F11" s="37">
        <v>690</v>
      </c>
      <c r="G11" s="37">
        <v>700</v>
      </c>
      <c r="H11" s="37">
        <v>710</v>
      </c>
      <c r="I11" s="37">
        <v>720</v>
      </c>
      <c r="J11" s="37">
        <v>730</v>
      </c>
      <c r="K11" s="37">
        <v>740</v>
      </c>
      <c r="L11" s="37">
        <v>750</v>
      </c>
      <c r="M11" s="37">
        <v>760</v>
      </c>
    </row>
    <row r="12" spans="1:13" x14ac:dyDescent="0.25">
      <c r="A12" t="s">
        <v>144</v>
      </c>
      <c r="B12" s="37">
        <v>600</v>
      </c>
      <c r="C12" s="37">
        <v>610</v>
      </c>
      <c r="D12" s="37">
        <v>620</v>
      </c>
      <c r="E12" s="37">
        <v>630</v>
      </c>
      <c r="F12" s="37">
        <v>640</v>
      </c>
      <c r="G12" s="37">
        <v>650</v>
      </c>
      <c r="H12" s="37">
        <v>660</v>
      </c>
      <c r="I12" s="37">
        <v>670</v>
      </c>
      <c r="J12" s="37">
        <v>680</v>
      </c>
      <c r="K12" s="37">
        <v>690</v>
      </c>
      <c r="L12" s="37">
        <v>700</v>
      </c>
      <c r="M12" s="37">
        <v>710</v>
      </c>
    </row>
    <row r="13" spans="1:13" x14ac:dyDescent="0.25">
      <c r="A13" t="s">
        <v>145</v>
      </c>
      <c r="B13" s="37">
        <v>550</v>
      </c>
      <c r="C13" s="37">
        <v>580</v>
      </c>
      <c r="D13" s="37">
        <v>610</v>
      </c>
      <c r="E13" s="37">
        <v>640</v>
      </c>
      <c r="F13" s="37">
        <v>670</v>
      </c>
      <c r="G13" s="37">
        <v>700</v>
      </c>
      <c r="H13" s="37">
        <v>730</v>
      </c>
      <c r="I13" s="37">
        <v>760</v>
      </c>
      <c r="J13" s="37">
        <v>790</v>
      </c>
      <c r="K13" s="37">
        <v>820</v>
      </c>
      <c r="L13" s="37">
        <v>850</v>
      </c>
      <c r="M13" s="37">
        <v>880</v>
      </c>
    </row>
    <row r="14" spans="1:13" x14ac:dyDescent="0.25">
      <c r="A14" s="127" t="s">
        <v>275</v>
      </c>
      <c r="B14" s="37"/>
      <c r="C14" s="37"/>
      <c r="D14" s="37"/>
      <c r="E14" s="37"/>
      <c r="F14" s="37"/>
      <c r="G14" s="37"/>
      <c r="H14" s="37"/>
      <c r="I14" s="37"/>
      <c r="J14" s="37"/>
      <c r="K14" s="37"/>
      <c r="L14" s="37"/>
      <c r="M14" s="37"/>
    </row>
    <row r="15" spans="1:13" x14ac:dyDescent="0.25">
      <c r="A15" t="s">
        <v>146</v>
      </c>
      <c r="B15" s="37">
        <v>500</v>
      </c>
      <c r="C15" s="37">
        <v>600</v>
      </c>
      <c r="D15" s="37">
        <v>700</v>
      </c>
      <c r="E15" s="37">
        <v>800</v>
      </c>
      <c r="F15" s="37">
        <v>900</v>
      </c>
      <c r="G15" s="37">
        <v>1000</v>
      </c>
      <c r="H15" s="37">
        <v>1100</v>
      </c>
      <c r="I15" s="37">
        <v>1200</v>
      </c>
      <c r="J15" s="37">
        <v>1300</v>
      </c>
      <c r="K15" s="37">
        <v>1400</v>
      </c>
      <c r="L15" s="37">
        <v>1500</v>
      </c>
      <c r="M15" s="37">
        <v>1600</v>
      </c>
    </row>
    <row r="16" spans="1:13" x14ac:dyDescent="0.25">
      <c r="A16" t="s">
        <v>147</v>
      </c>
      <c r="B16" s="37">
        <v>450</v>
      </c>
      <c r="C16" s="37">
        <v>500</v>
      </c>
      <c r="D16" s="37">
        <v>550</v>
      </c>
      <c r="E16" s="37">
        <v>600</v>
      </c>
      <c r="F16" s="37">
        <v>650</v>
      </c>
      <c r="G16" s="37">
        <v>700</v>
      </c>
      <c r="H16" s="37">
        <v>750</v>
      </c>
      <c r="I16" s="37">
        <v>800</v>
      </c>
      <c r="J16" s="37">
        <v>850</v>
      </c>
      <c r="K16" s="37">
        <v>900</v>
      </c>
      <c r="L16" s="37">
        <v>950</v>
      </c>
      <c r="M16" s="37">
        <v>1000</v>
      </c>
    </row>
    <row r="17" spans="1:13" x14ac:dyDescent="0.25">
      <c r="A17" t="s">
        <v>148</v>
      </c>
      <c r="B17" s="37">
        <v>400</v>
      </c>
      <c r="C17" s="37">
        <v>450</v>
      </c>
      <c r="D17" s="37">
        <v>500</v>
      </c>
      <c r="E17" s="37">
        <v>550</v>
      </c>
      <c r="F17" s="37">
        <v>600</v>
      </c>
      <c r="G17" s="37">
        <v>650</v>
      </c>
      <c r="H17" s="37">
        <v>700</v>
      </c>
      <c r="I17" s="37">
        <v>750</v>
      </c>
      <c r="J17" s="37">
        <v>800</v>
      </c>
      <c r="K17" s="37">
        <v>850</v>
      </c>
      <c r="L17" s="37">
        <v>900</v>
      </c>
      <c r="M17" s="37">
        <v>950</v>
      </c>
    </row>
    <row r="18" spans="1:13" x14ac:dyDescent="0.25">
      <c r="A18" t="s">
        <v>149</v>
      </c>
      <c r="B18" s="37">
        <v>350</v>
      </c>
      <c r="C18" s="37">
        <v>400</v>
      </c>
      <c r="D18" s="37">
        <v>450</v>
      </c>
      <c r="E18" s="37">
        <v>500</v>
      </c>
      <c r="F18" s="37">
        <v>550</v>
      </c>
      <c r="G18" s="37">
        <v>600</v>
      </c>
      <c r="H18" s="37">
        <v>650</v>
      </c>
      <c r="I18" s="37">
        <v>700</v>
      </c>
      <c r="J18" s="37">
        <v>750</v>
      </c>
      <c r="K18" s="37">
        <v>800</v>
      </c>
      <c r="L18" s="37">
        <v>850</v>
      </c>
      <c r="M18" s="37">
        <v>900</v>
      </c>
    </row>
    <row r="19" spans="1:13" x14ac:dyDescent="0.25">
      <c r="A19" t="s">
        <v>150</v>
      </c>
      <c r="B19" s="37">
        <v>300</v>
      </c>
      <c r="C19" s="37">
        <v>350</v>
      </c>
      <c r="D19" s="37">
        <v>400</v>
      </c>
      <c r="E19" s="37">
        <v>450</v>
      </c>
      <c r="F19" s="37">
        <v>500</v>
      </c>
      <c r="G19" s="37">
        <v>550</v>
      </c>
      <c r="H19" s="37">
        <v>600</v>
      </c>
      <c r="I19" s="37">
        <v>650</v>
      </c>
      <c r="J19" s="37">
        <v>700</v>
      </c>
      <c r="K19" s="37">
        <v>750</v>
      </c>
      <c r="L19" s="37">
        <v>800</v>
      </c>
      <c r="M19" s="37">
        <v>850</v>
      </c>
    </row>
    <row r="20" spans="1:13" x14ac:dyDescent="0.25">
      <c r="A20" t="s">
        <v>151</v>
      </c>
      <c r="B20" s="37">
        <v>250</v>
      </c>
      <c r="C20" s="37">
        <v>300</v>
      </c>
      <c r="D20" s="37">
        <v>350</v>
      </c>
      <c r="E20" s="37">
        <v>400</v>
      </c>
      <c r="F20" s="37">
        <v>450</v>
      </c>
      <c r="G20" s="37">
        <v>500</v>
      </c>
      <c r="H20" s="37">
        <v>550</v>
      </c>
      <c r="I20" s="37">
        <v>600</v>
      </c>
      <c r="J20" s="37">
        <v>650</v>
      </c>
      <c r="K20" s="37">
        <v>700</v>
      </c>
      <c r="L20" s="37">
        <v>750</v>
      </c>
      <c r="M20" s="37">
        <v>800</v>
      </c>
    </row>
    <row r="21" spans="1:13" x14ac:dyDescent="0.25">
      <c r="A21" s="127" t="s">
        <v>108</v>
      </c>
      <c r="B21" s="37">
        <f>SUM(B4:B20)</f>
        <v>10000</v>
      </c>
      <c r="C21" s="37">
        <f t="shared" ref="C21:M21" si="0">SUM(C4:C20)</f>
        <v>10690</v>
      </c>
      <c r="D21" s="37">
        <f t="shared" si="0"/>
        <v>11380</v>
      </c>
      <c r="E21" s="37">
        <f t="shared" si="0"/>
        <v>12070</v>
      </c>
      <c r="F21" s="37">
        <f t="shared" si="0"/>
        <v>12760</v>
      </c>
      <c r="G21" s="37">
        <f t="shared" si="0"/>
        <v>13450</v>
      </c>
      <c r="H21" s="37">
        <f t="shared" si="0"/>
        <v>14140</v>
      </c>
      <c r="I21" s="37">
        <f t="shared" si="0"/>
        <v>14830</v>
      </c>
      <c r="J21" s="37">
        <f t="shared" si="0"/>
        <v>15520</v>
      </c>
      <c r="K21" s="37">
        <f t="shared" si="0"/>
        <v>16210</v>
      </c>
      <c r="L21" s="37">
        <f t="shared" si="0"/>
        <v>16900</v>
      </c>
      <c r="M21" s="37">
        <f t="shared" si="0"/>
        <v>17590</v>
      </c>
    </row>
    <row r="22" spans="1:13" x14ac:dyDescent="0.25">
      <c r="A22" t="s">
        <v>278</v>
      </c>
    </row>
    <row r="23" spans="1:13" x14ac:dyDescent="0.25">
      <c r="A23" s="23" t="s">
        <v>152</v>
      </c>
    </row>
    <row r="24" spans="1:13" x14ac:dyDescent="0.25">
      <c r="A24" t="s">
        <v>153</v>
      </c>
    </row>
    <row r="26" spans="1:13" x14ac:dyDescent="0.25">
      <c r="A26" s="40">
        <v>1</v>
      </c>
      <c r="B26" t="s">
        <v>154</v>
      </c>
      <c r="C26" t="s">
        <v>155</v>
      </c>
      <c r="D26" t="s">
        <v>156</v>
      </c>
      <c r="E26" t="s">
        <v>157</v>
      </c>
      <c r="F26" t="s">
        <v>108</v>
      </c>
      <c r="G26" s="41"/>
      <c r="H26" s="41"/>
    </row>
    <row r="27" spans="1:13" x14ac:dyDescent="0.25">
      <c r="A27" t="s">
        <v>136</v>
      </c>
      <c r="B27" s="42"/>
      <c r="C27" s="42"/>
      <c r="D27" s="42"/>
      <c r="E27" s="42"/>
      <c r="F27" s="42"/>
      <c r="G27" s="41"/>
      <c r="H27" s="43"/>
    </row>
    <row r="28" spans="1:13" x14ac:dyDescent="0.25">
      <c r="A28" t="s">
        <v>137</v>
      </c>
      <c r="B28" s="42"/>
      <c r="C28" s="42"/>
      <c r="D28" s="42"/>
      <c r="E28" s="42"/>
      <c r="F28" s="42"/>
      <c r="G28" s="41"/>
      <c r="H28" s="43"/>
    </row>
    <row r="29" spans="1:13" x14ac:dyDescent="0.25">
      <c r="A29" t="s">
        <v>138</v>
      </c>
      <c r="B29" s="42"/>
      <c r="C29" s="42"/>
      <c r="D29" s="42"/>
      <c r="E29" s="42"/>
      <c r="F29" s="42"/>
      <c r="G29" s="41"/>
      <c r="H29" s="43"/>
    </row>
    <row r="30" spans="1:13" x14ac:dyDescent="0.25">
      <c r="A30" t="s">
        <v>139</v>
      </c>
      <c r="B30" s="42"/>
      <c r="C30" s="42"/>
      <c r="D30" s="42"/>
      <c r="E30" s="42"/>
      <c r="F30" s="42"/>
      <c r="G30" s="41"/>
      <c r="H30" s="43"/>
    </row>
    <row r="31" spans="1:13" x14ac:dyDescent="0.25">
      <c r="A31" t="s">
        <v>140</v>
      </c>
      <c r="B31" s="42"/>
      <c r="C31" s="42"/>
      <c r="D31" s="42"/>
      <c r="E31" s="42"/>
      <c r="F31" s="42"/>
      <c r="G31" s="41"/>
      <c r="H31" s="43"/>
    </row>
    <row r="32" spans="1:13" x14ac:dyDescent="0.25">
      <c r="A32" t="s">
        <v>141</v>
      </c>
      <c r="B32" s="42"/>
      <c r="C32" s="42"/>
      <c r="D32" s="42"/>
      <c r="E32" s="42"/>
      <c r="F32" s="42"/>
      <c r="G32" s="41"/>
      <c r="H32" s="43"/>
    </row>
    <row r="33" spans="1:8" x14ac:dyDescent="0.25">
      <c r="A33" t="s">
        <v>142</v>
      </c>
      <c r="B33" s="42"/>
      <c r="C33" s="42"/>
      <c r="D33" s="42"/>
      <c r="E33" s="42"/>
      <c r="F33" s="42"/>
      <c r="G33" s="41"/>
      <c r="H33" s="43"/>
    </row>
    <row r="34" spans="1:8" x14ac:dyDescent="0.25">
      <c r="A34" t="s">
        <v>143</v>
      </c>
      <c r="B34" s="42"/>
      <c r="C34" s="42"/>
      <c r="D34" s="42"/>
      <c r="E34" s="42"/>
      <c r="F34" s="42"/>
      <c r="G34" s="41"/>
      <c r="H34" s="43"/>
    </row>
    <row r="35" spans="1:8" x14ac:dyDescent="0.25">
      <c r="A35" t="s">
        <v>144</v>
      </c>
      <c r="B35" s="42"/>
      <c r="C35" s="42"/>
      <c r="D35" s="42"/>
      <c r="E35" s="42"/>
      <c r="F35" s="42"/>
      <c r="G35" s="41"/>
      <c r="H35" s="43"/>
    </row>
    <row r="36" spans="1:8" x14ac:dyDescent="0.25">
      <c r="A36" t="s">
        <v>145</v>
      </c>
      <c r="B36" s="42"/>
      <c r="C36" s="42"/>
      <c r="D36" s="42"/>
      <c r="E36" s="42"/>
      <c r="F36" s="42"/>
      <c r="G36" s="41"/>
      <c r="H36" s="43"/>
    </row>
    <row r="37" spans="1:8" x14ac:dyDescent="0.25">
      <c r="A37" s="128" t="s">
        <v>276</v>
      </c>
      <c r="B37" s="42"/>
      <c r="C37" s="42"/>
      <c r="D37" s="42"/>
      <c r="E37" s="42"/>
      <c r="F37" s="42"/>
      <c r="G37" s="43"/>
      <c r="H37" s="43"/>
    </row>
    <row r="38" spans="1:8" x14ac:dyDescent="0.25">
      <c r="A38" t="s">
        <v>146</v>
      </c>
      <c r="B38" s="42"/>
      <c r="C38" s="42"/>
      <c r="D38" s="42"/>
      <c r="E38" s="42"/>
      <c r="F38" s="42"/>
      <c r="G38" s="41"/>
      <c r="H38" s="43"/>
    </row>
    <row r="39" spans="1:8" x14ac:dyDescent="0.25">
      <c r="A39" t="s">
        <v>147</v>
      </c>
      <c r="B39" s="42"/>
      <c r="C39" s="42"/>
      <c r="D39" s="42"/>
      <c r="E39" s="42"/>
      <c r="F39" s="42"/>
      <c r="G39" s="41"/>
      <c r="H39" s="43"/>
    </row>
    <row r="40" spans="1:8" x14ac:dyDescent="0.25">
      <c r="A40" t="s">
        <v>148</v>
      </c>
      <c r="B40" s="42"/>
      <c r="C40" s="42"/>
      <c r="D40" s="42"/>
      <c r="E40" s="42"/>
      <c r="F40" s="42"/>
      <c r="G40" s="41"/>
      <c r="H40" s="43"/>
    </row>
    <row r="41" spans="1:8" x14ac:dyDescent="0.25">
      <c r="A41" t="s">
        <v>149</v>
      </c>
      <c r="B41" s="42"/>
      <c r="C41" s="42"/>
      <c r="D41" s="42"/>
      <c r="E41" s="42"/>
      <c r="F41" s="42"/>
      <c r="G41" s="41"/>
      <c r="H41" s="43"/>
    </row>
    <row r="42" spans="1:8" x14ac:dyDescent="0.25">
      <c r="A42" t="s">
        <v>150</v>
      </c>
      <c r="B42" s="42"/>
      <c r="C42" s="42"/>
      <c r="D42" s="42"/>
      <c r="E42" s="42"/>
      <c r="F42" s="42"/>
      <c r="G42" s="41"/>
      <c r="H42" s="43"/>
    </row>
    <row r="43" spans="1:8" x14ac:dyDescent="0.25">
      <c r="A43" t="s">
        <v>151</v>
      </c>
      <c r="B43" s="42"/>
      <c r="C43" s="42"/>
      <c r="D43" s="42"/>
      <c r="E43" s="42"/>
      <c r="F43" s="42"/>
      <c r="G43" s="41"/>
      <c r="H43" s="43"/>
    </row>
    <row r="44" spans="1:8" x14ac:dyDescent="0.25">
      <c r="A44" s="128" t="s">
        <v>277</v>
      </c>
      <c r="B44" s="42"/>
      <c r="C44" s="42"/>
      <c r="D44" s="42"/>
      <c r="E44" s="42"/>
      <c r="F44" s="42"/>
      <c r="G44" s="43"/>
      <c r="H44" s="43"/>
    </row>
    <row r="45" spans="1:8" ht="18.75" x14ac:dyDescent="0.3">
      <c r="A45" s="129" t="s">
        <v>108</v>
      </c>
      <c r="B45" s="42"/>
      <c r="C45" s="42"/>
      <c r="D45" s="42"/>
      <c r="E45" s="42"/>
      <c r="F45" s="42"/>
      <c r="G45" s="43"/>
      <c r="H45" s="43"/>
    </row>
    <row r="46" spans="1:8" x14ac:dyDescent="0.25">
      <c r="G46" s="24"/>
      <c r="H46" s="2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workbookViewId="0">
      <selection activeCell="C77" sqref="C77"/>
    </sheetView>
  </sheetViews>
  <sheetFormatPr defaultRowHeight="11.25" x14ac:dyDescent="0.2"/>
  <cols>
    <col min="1" max="1" width="12.5703125" style="44" customWidth="1"/>
    <col min="2" max="5" width="20.7109375" style="44" bestFit="1" customWidth="1"/>
    <col min="6" max="6" width="5.140625" style="44" customWidth="1"/>
    <col min="7" max="7" width="16.7109375" style="44" bestFit="1" customWidth="1"/>
    <col min="8" max="8" width="15" style="44" customWidth="1"/>
    <col min="9" max="9" width="14.85546875" style="44" bestFit="1" customWidth="1"/>
    <col min="10" max="10" width="15.42578125" style="44" customWidth="1"/>
    <col min="11" max="11" width="14.85546875" style="44" bestFit="1" customWidth="1"/>
    <col min="12" max="16384" width="9.140625" style="44"/>
  </cols>
  <sheetData>
    <row r="1" spans="1:11" ht="15.75" customHeight="1" x14ac:dyDescent="0.2">
      <c r="A1" s="30" t="s">
        <v>160</v>
      </c>
    </row>
    <row r="2" spans="1:11" ht="15.75" x14ac:dyDescent="0.25">
      <c r="A2" s="142" t="s">
        <v>269</v>
      </c>
    </row>
    <row r="3" spans="1:11" ht="12.75" x14ac:dyDescent="0.2">
      <c r="A3" s="45"/>
      <c r="H3" s="97">
        <v>2003</v>
      </c>
      <c r="I3" s="97">
        <v>2004</v>
      </c>
      <c r="J3" s="97">
        <v>2005</v>
      </c>
      <c r="K3" s="97">
        <v>2006</v>
      </c>
    </row>
    <row r="4" spans="1:11" x14ac:dyDescent="0.2">
      <c r="B4" s="46" t="s">
        <v>161</v>
      </c>
      <c r="C4" s="46" t="s">
        <v>162</v>
      </c>
      <c r="D4" s="46" t="s">
        <v>163</v>
      </c>
      <c r="E4" s="46" t="s">
        <v>164</v>
      </c>
      <c r="G4" s="47" t="s">
        <v>158</v>
      </c>
      <c r="H4" s="48"/>
      <c r="I4" s="48"/>
      <c r="J4" s="48"/>
      <c r="K4" s="48"/>
    </row>
    <row r="5" spans="1:11" x14ac:dyDescent="0.2">
      <c r="A5" s="44" t="s">
        <v>176</v>
      </c>
      <c r="B5" s="49">
        <v>49460000</v>
      </c>
      <c r="C5" s="49">
        <v>76560000</v>
      </c>
      <c r="D5" s="49">
        <v>90520000</v>
      </c>
      <c r="E5" s="49">
        <v>90500000</v>
      </c>
      <c r="G5" s="50" t="s">
        <v>166</v>
      </c>
      <c r="H5" s="48"/>
      <c r="I5" s="48"/>
      <c r="J5" s="48"/>
      <c r="K5" s="48"/>
    </row>
    <row r="6" spans="1:11" x14ac:dyDescent="0.2">
      <c r="A6" s="44" t="s">
        <v>178</v>
      </c>
      <c r="B6" s="49">
        <v>50000300</v>
      </c>
      <c r="C6" s="49">
        <v>60500000</v>
      </c>
      <c r="D6" s="49">
        <v>87400000</v>
      </c>
      <c r="E6" s="49">
        <v>95600000</v>
      </c>
      <c r="G6" s="93" t="s">
        <v>159</v>
      </c>
      <c r="H6" s="48"/>
      <c r="I6" s="48"/>
      <c r="J6" s="48"/>
      <c r="K6" s="48"/>
    </row>
    <row r="7" spans="1:11" x14ac:dyDescent="0.2">
      <c r="A7" s="44" t="s">
        <v>179</v>
      </c>
      <c r="B7" s="49">
        <v>54730000</v>
      </c>
      <c r="C7" s="49">
        <v>84284200</v>
      </c>
      <c r="D7" s="49">
        <v>99455356</v>
      </c>
      <c r="E7" s="49">
        <v>125000000</v>
      </c>
      <c r="G7" s="50" t="s">
        <v>169</v>
      </c>
      <c r="H7" s="48"/>
      <c r="I7" s="48"/>
      <c r="J7" s="48"/>
      <c r="K7" s="48"/>
    </row>
    <row r="8" spans="1:11" x14ac:dyDescent="0.2">
      <c r="A8" s="44" t="s">
        <v>180</v>
      </c>
      <c r="B8" s="49">
        <v>217300000</v>
      </c>
      <c r="C8" s="49">
        <v>334642000</v>
      </c>
      <c r="D8" s="49">
        <v>401570400</v>
      </c>
      <c r="E8" s="49">
        <v>465000000</v>
      </c>
      <c r="G8" s="50" t="s">
        <v>171</v>
      </c>
      <c r="H8" s="48"/>
      <c r="I8" s="48"/>
      <c r="J8" s="48"/>
      <c r="K8" s="48"/>
    </row>
    <row r="9" spans="1:11" x14ac:dyDescent="0.2">
      <c r="A9" s="44" t="s">
        <v>181</v>
      </c>
      <c r="B9" s="49">
        <v>225537600</v>
      </c>
      <c r="C9" s="49">
        <v>349630510</v>
      </c>
      <c r="D9" s="49">
        <v>411809140</v>
      </c>
      <c r="E9" s="49">
        <v>521640000</v>
      </c>
      <c r="G9" s="50" t="s">
        <v>173</v>
      </c>
      <c r="H9" s="48"/>
      <c r="I9" s="48"/>
      <c r="J9" s="48"/>
      <c r="K9" s="48"/>
    </row>
    <row r="10" spans="1:11" x14ac:dyDescent="0.2">
      <c r="A10" s="44" t="s">
        <v>182</v>
      </c>
      <c r="B10" s="49">
        <v>413485600</v>
      </c>
      <c r="C10" s="49">
        <v>640989400</v>
      </c>
      <c r="D10" s="49">
        <v>754983430</v>
      </c>
      <c r="E10" s="49">
        <v>956340000</v>
      </c>
      <c r="G10" s="50" t="s">
        <v>175</v>
      </c>
      <c r="H10" s="48"/>
      <c r="I10" s="48"/>
      <c r="J10" s="48"/>
      <c r="K10" s="48"/>
    </row>
    <row r="11" spans="1:11" x14ac:dyDescent="0.2">
      <c r="A11" s="44" t="s">
        <v>165</v>
      </c>
      <c r="B11" s="49">
        <v>281922000</v>
      </c>
      <c r="C11" s="49">
        <v>437038140</v>
      </c>
      <c r="D11" s="49">
        <v>514761430</v>
      </c>
      <c r="E11" s="49">
        <v>652050000</v>
      </c>
      <c r="G11" s="93" t="s">
        <v>177</v>
      </c>
      <c r="H11" s="48"/>
      <c r="I11" s="48"/>
      <c r="J11" s="48"/>
      <c r="K11" s="48"/>
    </row>
    <row r="12" spans="1:11" x14ac:dyDescent="0.2">
      <c r="A12" s="44" t="s">
        <v>167</v>
      </c>
      <c r="B12" s="49">
        <v>93974000</v>
      </c>
      <c r="C12" s="49">
        <v>145679380</v>
      </c>
      <c r="D12" s="49">
        <v>171587140</v>
      </c>
      <c r="E12" s="49">
        <v>217350000</v>
      </c>
    </row>
    <row r="13" spans="1:11" x14ac:dyDescent="0.2">
      <c r="A13" s="44" t="s">
        <v>168</v>
      </c>
      <c r="B13" s="49">
        <v>469870000</v>
      </c>
      <c r="C13" s="49">
        <v>728396900</v>
      </c>
      <c r="D13" s="49">
        <v>857935720</v>
      </c>
      <c r="E13" s="49">
        <v>1086750000</v>
      </c>
    </row>
    <row r="14" spans="1:11" x14ac:dyDescent="0.2">
      <c r="A14" s="44" t="s">
        <v>170</v>
      </c>
      <c r="B14" s="49">
        <v>394690800</v>
      </c>
      <c r="C14" s="49">
        <v>611853390</v>
      </c>
      <c r="D14" s="49">
        <v>720666000</v>
      </c>
      <c r="E14" s="49">
        <v>912870000</v>
      </c>
    </row>
    <row r="15" spans="1:11" x14ac:dyDescent="0.2">
      <c r="A15" s="44" t="s">
        <v>172</v>
      </c>
      <c r="B15" s="49">
        <v>227300000</v>
      </c>
      <c r="C15" s="49">
        <v>350042000</v>
      </c>
      <c r="D15" s="49">
        <v>420050400</v>
      </c>
      <c r="E15" s="49">
        <v>540000000</v>
      </c>
    </row>
    <row r="16" spans="1:11" x14ac:dyDescent="0.2">
      <c r="A16" s="44" t="s">
        <v>174</v>
      </c>
      <c r="B16" s="49">
        <v>44730000</v>
      </c>
      <c r="C16" s="49">
        <v>68884200</v>
      </c>
      <c r="D16" s="49">
        <v>82661040</v>
      </c>
      <c r="E16" s="49">
        <v>82500000</v>
      </c>
    </row>
    <row r="17" spans="1:5" x14ac:dyDescent="0.2">
      <c r="B17" s="51" t="s">
        <v>183</v>
      </c>
      <c r="C17" s="51" t="s">
        <v>184</v>
      </c>
      <c r="D17" s="51" t="s">
        <v>185</v>
      </c>
      <c r="E17" s="51" t="s">
        <v>186</v>
      </c>
    </row>
    <row r="18" spans="1:5" x14ac:dyDescent="0.2">
      <c r="A18" s="44" t="s">
        <v>176</v>
      </c>
      <c r="B18" s="49">
        <v>12795000</v>
      </c>
      <c r="C18" s="49">
        <v>15354000</v>
      </c>
      <c r="D18" s="49">
        <v>18424800</v>
      </c>
      <c r="E18" s="49">
        <v>22109760</v>
      </c>
    </row>
    <row r="19" spans="1:5" x14ac:dyDescent="0.2">
      <c r="A19" s="44" t="s">
        <v>178</v>
      </c>
      <c r="B19" s="49">
        <v>9000000</v>
      </c>
      <c r="C19" s="49">
        <v>10800000</v>
      </c>
      <c r="D19" s="49">
        <v>12960000</v>
      </c>
      <c r="E19" s="49">
        <v>15552000</v>
      </c>
    </row>
    <row r="20" spans="1:5" x14ac:dyDescent="0.2">
      <c r="A20" s="44" t="s">
        <v>179</v>
      </c>
      <c r="B20" s="49">
        <v>9000000</v>
      </c>
      <c r="C20" s="49">
        <v>10800000</v>
      </c>
      <c r="D20" s="49">
        <v>12960000</v>
      </c>
      <c r="E20" s="49">
        <v>15552000</v>
      </c>
    </row>
    <row r="21" spans="1:5" x14ac:dyDescent="0.2">
      <c r="A21" s="44" t="s">
        <v>180</v>
      </c>
      <c r="B21" s="49">
        <v>9000000</v>
      </c>
      <c r="C21" s="49">
        <v>10800000</v>
      </c>
      <c r="D21" s="49">
        <v>12960000</v>
      </c>
      <c r="E21" s="49">
        <v>15552000</v>
      </c>
    </row>
    <row r="22" spans="1:5" x14ac:dyDescent="0.2">
      <c r="A22" s="44" t="s">
        <v>181</v>
      </c>
      <c r="B22" s="49">
        <v>9000000</v>
      </c>
      <c r="C22" s="49">
        <v>10800000</v>
      </c>
      <c r="D22" s="49">
        <v>12960000</v>
      </c>
      <c r="E22" s="49">
        <v>15552000</v>
      </c>
    </row>
    <row r="23" spans="1:5" x14ac:dyDescent="0.2">
      <c r="A23" s="44" t="s">
        <v>182</v>
      </c>
      <c r="B23" s="49">
        <v>16450000</v>
      </c>
      <c r="C23" s="49">
        <v>19740000</v>
      </c>
      <c r="D23" s="49">
        <v>23688000</v>
      </c>
      <c r="E23" s="49">
        <v>28425600</v>
      </c>
    </row>
    <row r="24" spans="1:5" x14ac:dyDescent="0.2">
      <c r="A24" s="44" t="s">
        <v>165</v>
      </c>
      <c r="B24" s="49">
        <v>9000000</v>
      </c>
      <c r="C24" s="49">
        <v>10800000</v>
      </c>
      <c r="D24" s="49">
        <v>12960000</v>
      </c>
      <c r="E24" s="49">
        <v>15552000</v>
      </c>
    </row>
    <row r="25" spans="1:5" x14ac:dyDescent="0.2">
      <c r="A25" s="44" t="s">
        <v>167</v>
      </c>
      <c r="B25" s="49">
        <v>9000000</v>
      </c>
      <c r="C25" s="49">
        <v>10800000</v>
      </c>
      <c r="D25" s="49">
        <v>12960000</v>
      </c>
      <c r="E25" s="49">
        <v>15552000</v>
      </c>
    </row>
    <row r="26" spans="1:5" x14ac:dyDescent="0.2">
      <c r="A26" s="44" t="s">
        <v>168</v>
      </c>
      <c r="B26" s="49">
        <v>9000000</v>
      </c>
      <c r="C26" s="49">
        <v>10800000</v>
      </c>
      <c r="D26" s="49">
        <v>12960000</v>
      </c>
      <c r="E26" s="49">
        <v>15552000</v>
      </c>
    </row>
    <row r="27" spans="1:5" x14ac:dyDescent="0.2">
      <c r="A27" s="44" t="s">
        <v>170</v>
      </c>
      <c r="B27" s="49">
        <v>12795000</v>
      </c>
      <c r="C27" s="49">
        <v>15354000</v>
      </c>
      <c r="D27" s="49">
        <v>18424800</v>
      </c>
      <c r="E27" s="49">
        <v>22109760</v>
      </c>
    </row>
    <row r="28" spans="1:5" x14ac:dyDescent="0.2">
      <c r="A28" s="44" t="s">
        <v>172</v>
      </c>
      <c r="B28" s="49">
        <v>9000000</v>
      </c>
      <c r="C28" s="49">
        <v>10800000</v>
      </c>
      <c r="D28" s="49">
        <v>12960000</v>
      </c>
      <c r="E28" s="49">
        <v>15552000</v>
      </c>
    </row>
    <row r="29" spans="1:5" x14ac:dyDescent="0.2">
      <c r="A29" s="44" t="s">
        <v>174</v>
      </c>
      <c r="B29" s="49">
        <v>9000000</v>
      </c>
      <c r="C29" s="49">
        <v>10800000</v>
      </c>
      <c r="D29" s="49">
        <v>12960000</v>
      </c>
      <c r="E29" s="49">
        <v>15552000</v>
      </c>
    </row>
    <row r="30" spans="1:5" x14ac:dyDescent="0.2">
      <c r="B30" s="51" t="s">
        <v>187</v>
      </c>
      <c r="C30" s="51" t="s">
        <v>188</v>
      </c>
      <c r="D30" s="51" t="s">
        <v>189</v>
      </c>
      <c r="E30" s="51" t="s">
        <v>190</v>
      </c>
    </row>
    <row r="31" spans="1:5" x14ac:dyDescent="0.2">
      <c r="A31" s="44" t="s">
        <v>176</v>
      </c>
      <c r="B31" s="49">
        <v>950726</v>
      </c>
      <c r="C31" s="49">
        <v>1025545</v>
      </c>
      <c r="D31" s="49">
        <v>1187654</v>
      </c>
      <c r="E31" s="49">
        <v>1258913</v>
      </c>
    </row>
    <row r="32" spans="1:5" x14ac:dyDescent="0.2">
      <c r="A32" s="44" t="s">
        <v>178</v>
      </c>
      <c r="B32" s="49">
        <v>203500</v>
      </c>
      <c r="C32" s="49">
        <v>242300</v>
      </c>
      <c r="D32" s="49">
        <v>254600</v>
      </c>
      <c r="E32" s="49">
        <v>269876</v>
      </c>
    </row>
    <row r="33" spans="1:5" x14ac:dyDescent="0.2">
      <c r="A33" s="44" t="s">
        <v>179</v>
      </c>
      <c r="B33" s="49">
        <v>1003206</v>
      </c>
      <c r="C33" s="49">
        <v>992733</v>
      </c>
      <c r="D33" s="49">
        <v>1053212</v>
      </c>
      <c r="E33" s="49">
        <v>1116405</v>
      </c>
    </row>
    <row r="34" spans="1:5" x14ac:dyDescent="0.2">
      <c r="A34" s="44" t="s">
        <v>180</v>
      </c>
      <c r="B34" s="49">
        <v>1066534</v>
      </c>
      <c r="C34" s="49">
        <v>1155662</v>
      </c>
      <c r="D34" s="49">
        <v>1299345</v>
      </c>
      <c r="E34" s="49">
        <v>1377306</v>
      </c>
    </row>
    <row r="35" spans="1:5" x14ac:dyDescent="0.2">
      <c r="A35" s="44" t="s">
        <v>181</v>
      </c>
      <c r="B35" s="49">
        <v>1157600</v>
      </c>
      <c r="C35" s="49">
        <v>1227887</v>
      </c>
      <c r="D35" s="49">
        <v>1318112</v>
      </c>
      <c r="E35" s="49">
        <v>1397199</v>
      </c>
    </row>
    <row r="36" spans="1:5" x14ac:dyDescent="0.2">
      <c r="A36" s="44" t="s">
        <v>182</v>
      </c>
      <c r="B36" s="49">
        <v>1205733</v>
      </c>
      <c r="C36" s="49">
        <v>1302303</v>
      </c>
      <c r="D36" s="49">
        <v>1391021</v>
      </c>
      <c r="E36" s="49">
        <v>1474482</v>
      </c>
    </row>
    <row r="37" spans="1:5" x14ac:dyDescent="0.2">
      <c r="A37" s="44" t="s">
        <v>165</v>
      </c>
      <c r="B37" s="49">
        <v>1059200</v>
      </c>
      <c r="C37" s="49">
        <v>1112555</v>
      </c>
      <c r="D37" s="49">
        <v>1178535</v>
      </c>
      <c r="E37" s="49">
        <v>1249247</v>
      </c>
    </row>
    <row r="38" spans="1:5" x14ac:dyDescent="0.2">
      <c r="A38" s="44" t="s">
        <v>167</v>
      </c>
      <c r="B38" s="49">
        <v>1082511</v>
      </c>
      <c r="C38" s="49">
        <v>1187612</v>
      </c>
      <c r="D38" s="49">
        <v>1258218</v>
      </c>
      <c r="E38" s="49">
        <v>1333711</v>
      </c>
    </row>
    <row r="39" spans="1:5" x14ac:dyDescent="0.2">
      <c r="A39" s="44" t="s">
        <v>168</v>
      </c>
      <c r="B39" s="49">
        <v>1101600</v>
      </c>
      <c r="C39" s="49">
        <v>1192731</v>
      </c>
      <c r="D39" s="49">
        <v>1292173</v>
      </c>
      <c r="E39" s="49">
        <v>1369703</v>
      </c>
    </row>
    <row r="40" spans="1:5" x14ac:dyDescent="0.2">
      <c r="A40" s="44" t="s">
        <v>170</v>
      </c>
      <c r="B40" s="49">
        <v>1125235</v>
      </c>
      <c r="C40" s="49">
        <v>1120353</v>
      </c>
      <c r="D40" s="49">
        <v>1312612</v>
      </c>
      <c r="E40" s="49">
        <v>1391369</v>
      </c>
    </row>
    <row r="41" spans="1:5" x14ac:dyDescent="0.2">
      <c r="A41" s="44" t="s">
        <v>172</v>
      </c>
      <c r="B41" s="49">
        <v>1022537</v>
      </c>
      <c r="C41" s="49">
        <v>1097770</v>
      </c>
      <c r="D41" s="49">
        <v>1205555</v>
      </c>
      <c r="E41" s="49">
        <v>1277888</v>
      </c>
    </row>
    <row r="42" spans="1:5" x14ac:dyDescent="0.2">
      <c r="A42" s="44" t="s">
        <v>174</v>
      </c>
      <c r="B42" s="49">
        <v>987432</v>
      </c>
      <c r="C42" s="49">
        <v>1111225</v>
      </c>
      <c r="D42" s="49">
        <v>1209876</v>
      </c>
      <c r="E42" s="49">
        <v>1282468</v>
      </c>
    </row>
    <row r="43" spans="1:5" x14ac:dyDescent="0.2">
      <c r="B43" s="51" t="s">
        <v>191</v>
      </c>
      <c r="C43" s="51" t="s">
        <v>192</v>
      </c>
      <c r="D43" s="51" t="s">
        <v>193</v>
      </c>
      <c r="E43" s="51" t="s">
        <v>194</v>
      </c>
    </row>
    <row r="44" spans="1:5" x14ac:dyDescent="0.2">
      <c r="A44" s="44" t="s">
        <v>176</v>
      </c>
      <c r="B44" s="49">
        <f>100000+161617</f>
        <v>261617</v>
      </c>
      <c r="C44" s="49">
        <f>120000+166777</f>
        <v>286777</v>
      </c>
      <c r="D44" s="49">
        <f>150000+251026</f>
        <v>401026</v>
      </c>
      <c r="E44" s="49">
        <f>180000+299426</f>
        <v>479426</v>
      </c>
    </row>
    <row r="45" spans="1:5" x14ac:dyDescent="0.2">
      <c r="A45" s="44" t="s">
        <v>178</v>
      </c>
      <c r="B45" s="49">
        <v>245000</v>
      </c>
      <c r="C45" s="49">
        <v>300000</v>
      </c>
      <c r="D45" s="49">
        <v>400000</v>
      </c>
      <c r="E45" s="49">
        <v>470000</v>
      </c>
    </row>
    <row r="46" spans="1:5" x14ac:dyDescent="0.2">
      <c r="A46" s="44" t="s">
        <v>179</v>
      </c>
      <c r="B46" s="49">
        <f>115832+161617</f>
        <v>277449</v>
      </c>
      <c r="C46" s="49">
        <f>138998+166777</f>
        <v>305775</v>
      </c>
      <c r="D46" s="49">
        <f>173747+251026</f>
        <v>424773</v>
      </c>
      <c r="E46" s="49">
        <f>191122+299426</f>
        <v>490548</v>
      </c>
    </row>
    <row r="47" spans="1:5" x14ac:dyDescent="0.2">
      <c r="A47" s="44" t="s">
        <v>180</v>
      </c>
      <c r="B47" s="49">
        <f>512679+161617</f>
        <v>674296</v>
      </c>
      <c r="C47" s="49">
        <f>615214+166777</f>
        <v>781991</v>
      </c>
      <c r="D47" s="49">
        <f>769018+251026</f>
        <v>1020044</v>
      </c>
      <c r="E47" s="49">
        <f>845920+299426</f>
        <v>1145346</v>
      </c>
    </row>
    <row r="48" spans="1:5" x14ac:dyDescent="0.2">
      <c r="A48" s="44" t="s">
        <v>181</v>
      </c>
      <c r="B48" s="49">
        <f>680313+161617</f>
        <v>841930</v>
      </c>
      <c r="C48" s="49">
        <f>816376+166777</f>
        <v>983153</v>
      </c>
      <c r="D48" s="49">
        <f>1020470+251026</f>
        <v>1271496</v>
      </c>
      <c r="E48" s="49">
        <f>1122517+299426</f>
        <v>1421943</v>
      </c>
    </row>
    <row r="49" spans="1:5" x14ac:dyDescent="0.2">
      <c r="A49" s="44" t="s">
        <v>182</v>
      </c>
      <c r="B49" s="49">
        <f>1330323+161617</f>
        <v>1491940</v>
      </c>
      <c r="C49" s="49">
        <f>1596388+166777</f>
        <v>1763165</v>
      </c>
      <c r="D49" s="49">
        <f>1995485+251026</f>
        <v>2246511</v>
      </c>
      <c r="E49" s="49">
        <f>2195034+299426</f>
        <v>2494460</v>
      </c>
    </row>
    <row r="50" spans="1:5" x14ac:dyDescent="0.2">
      <c r="A50" s="44" t="s">
        <v>165</v>
      </c>
      <c r="B50" s="49">
        <f>712336+161617</f>
        <v>873953</v>
      </c>
      <c r="C50" s="49">
        <f>854804+166777</f>
        <v>1021581</v>
      </c>
      <c r="D50" s="49">
        <f>1068505+251026</f>
        <v>1319531</v>
      </c>
      <c r="E50" s="49">
        <f>1175356+299426</f>
        <v>1474782</v>
      </c>
    </row>
    <row r="51" spans="1:5" x14ac:dyDescent="0.2">
      <c r="A51" s="44" t="s">
        <v>167</v>
      </c>
      <c r="B51" s="49">
        <f>235734+161617</f>
        <v>397351</v>
      </c>
      <c r="C51" s="49">
        <f>282881+166777</f>
        <v>449658</v>
      </c>
      <c r="D51" s="49">
        <f>353602+251026</f>
        <v>604628</v>
      </c>
      <c r="E51" s="49">
        <f>388963+299426</f>
        <v>688389</v>
      </c>
    </row>
    <row r="52" spans="1:5" x14ac:dyDescent="0.2">
      <c r="A52" s="44" t="s">
        <v>168</v>
      </c>
      <c r="B52" s="49">
        <f>1436878+161617</f>
        <v>1598495</v>
      </c>
      <c r="C52" s="49">
        <f>1724253+166777</f>
        <v>1891030</v>
      </c>
      <c r="D52" s="49">
        <f>2155316+251026</f>
        <v>2406342</v>
      </c>
      <c r="E52" s="49">
        <f>2370847+299426</f>
        <v>2670273</v>
      </c>
    </row>
    <row r="53" spans="1:5" x14ac:dyDescent="0.2">
      <c r="A53" s="44" t="s">
        <v>170</v>
      </c>
      <c r="B53" s="49">
        <f>1159112+161617</f>
        <v>1320729</v>
      </c>
      <c r="C53" s="49">
        <f>1390935+166777</f>
        <v>1557712</v>
      </c>
      <c r="D53" s="49">
        <f>1738669+251026</f>
        <v>1989695</v>
      </c>
      <c r="E53" s="49">
        <f>1912536+299426</f>
        <v>2211962</v>
      </c>
    </row>
    <row r="54" spans="1:5" x14ac:dyDescent="0.2">
      <c r="A54" s="44" t="s">
        <v>172</v>
      </c>
      <c r="B54" s="49">
        <f>683718+161617</f>
        <v>845335</v>
      </c>
      <c r="C54" s="49">
        <f>820461+166777</f>
        <v>987238</v>
      </c>
      <c r="D54" s="49">
        <f>1025576+251026</f>
        <v>1276602</v>
      </c>
      <c r="E54" s="49">
        <f>1128133+299426</f>
        <v>1427559</v>
      </c>
    </row>
    <row r="55" spans="1:5" x14ac:dyDescent="0.2">
      <c r="A55" s="44" t="s">
        <v>174</v>
      </c>
      <c r="B55" s="49">
        <f>100000+161617</f>
        <v>261617</v>
      </c>
      <c r="C55" s="49">
        <f>120000+166777</f>
        <v>286777</v>
      </c>
      <c r="D55" s="49">
        <f>150000+251026</f>
        <v>401026</v>
      </c>
      <c r="E55" s="49">
        <f>180000+299426</f>
        <v>479426</v>
      </c>
    </row>
    <row r="56" spans="1:5" x14ac:dyDescent="0.2">
      <c r="B56" s="51" t="s">
        <v>195</v>
      </c>
      <c r="C56" s="51" t="s">
        <v>196</v>
      </c>
      <c r="D56" s="51" t="s">
        <v>197</v>
      </c>
      <c r="E56" s="51" t="s">
        <v>198</v>
      </c>
    </row>
    <row r="57" spans="1:5" x14ac:dyDescent="0.2">
      <c r="A57" s="44" t="s">
        <v>176</v>
      </c>
      <c r="B57" s="49">
        <v>1500000</v>
      </c>
      <c r="C57" s="49">
        <v>2500000</v>
      </c>
      <c r="D57" s="49">
        <v>3000000</v>
      </c>
      <c r="E57" s="49">
        <v>4000000</v>
      </c>
    </row>
    <row r="58" spans="1:5" x14ac:dyDescent="0.2">
      <c r="A58" s="44" t="s">
        <v>178</v>
      </c>
      <c r="B58" s="49">
        <v>1500000</v>
      </c>
      <c r="C58" s="49">
        <v>2500000</v>
      </c>
      <c r="D58" s="49">
        <v>3000000</v>
      </c>
      <c r="E58" s="49">
        <v>4000000</v>
      </c>
    </row>
    <row r="59" spans="1:5" x14ac:dyDescent="0.2">
      <c r="A59" s="44" t="s">
        <v>179</v>
      </c>
      <c r="B59" s="49">
        <v>1500000</v>
      </c>
      <c r="C59" s="49">
        <v>2500000</v>
      </c>
      <c r="D59" s="49">
        <v>3000000</v>
      </c>
      <c r="E59" s="49">
        <v>4000000</v>
      </c>
    </row>
    <row r="60" spans="1:5" x14ac:dyDescent="0.2">
      <c r="A60" s="44" t="s">
        <v>180</v>
      </c>
      <c r="B60" s="49">
        <v>1500000</v>
      </c>
      <c r="C60" s="49">
        <v>2500000</v>
      </c>
      <c r="D60" s="49">
        <v>3000000</v>
      </c>
      <c r="E60" s="49">
        <v>4000000</v>
      </c>
    </row>
    <row r="61" spans="1:5" x14ac:dyDescent="0.2">
      <c r="A61" s="44" t="s">
        <v>181</v>
      </c>
      <c r="B61" s="49">
        <v>3000000</v>
      </c>
      <c r="C61" s="49">
        <v>4000000</v>
      </c>
      <c r="D61" s="49">
        <v>3000000</v>
      </c>
      <c r="E61" s="49">
        <v>4000000</v>
      </c>
    </row>
    <row r="62" spans="1:5" x14ac:dyDescent="0.2">
      <c r="A62" s="44" t="s">
        <v>182</v>
      </c>
      <c r="B62" s="49">
        <v>1500000</v>
      </c>
      <c r="C62" s="49">
        <v>2500000</v>
      </c>
      <c r="D62" s="49">
        <v>5000000</v>
      </c>
      <c r="E62" s="49">
        <v>6000000</v>
      </c>
    </row>
    <row r="63" spans="1:5" x14ac:dyDescent="0.2">
      <c r="A63" s="44" t="s">
        <v>165</v>
      </c>
      <c r="B63" s="49">
        <v>1500000</v>
      </c>
      <c r="C63" s="49">
        <v>2500000</v>
      </c>
      <c r="D63" s="49">
        <v>3000000</v>
      </c>
      <c r="E63" s="49">
        <v>4000000</v>
      </c>
    </row>
    <row r="64" spans="1:5" x14ac:dyDescent="0.2">
      <c r="A64" s="44" t="s">
        <v>167</v>
      </c>
      <c r="B64" s="49">
        <v>1500000</v>
      </c>
      <c r="C64" s="49">
        <v>2500000</v>
      </c>
      <c r="D64" s="49">
        <v>3000000</v>
      </c>
      <c r="E64" s="49">
        <v>4000000</v>
      </c>
    </row>
    <row r="65" spans="1:5" x14ac:dyDescent="0.2">
      <c r="A65" s="44" t="s">
        <v>168</v>
      </c>
      <c r="B65" s="49">
        <v>1500000</v>
      </c>
      <c r="C65" s="49">
        <v>2500000</v>
      </c>
      <c r="D65" s="49">
        <v>3000000</v>
      </c>
      <c r="E65" s="49">
        <v>4000000</v>
      </c>
    </row>
    <row r="66" spans="1:5" x14ac:dyDescent="0.2">
      <c r="A66" s="44" t="s">
        <v>170</v>
      </c>
      <c r="B66" s="49">
        <v>1500000</v>
      </c>
      <c r="C66" s="49">
        <v>2500000</v>
      </c>
      <c r="D66" s="49">
        <v>3000000</v>
      </c>
      <c r="E66" s="49">
        <v>4000000</v>
      </c>
    </row>
    <row r="67" spans="1:5" x14ac:dyDescent="0.2">
      <c r="A67" s="44" t="s">
        <v>172</v>
      </c>
      <c r="B67" s="49">
        <v>1500000</v>
      </c>
      <c r="C67" s="49">
        <v>2500000</v>
      </c>
      <c r="D67" s="49">
        <v>3000000</v>
      </c>
      <c r="E67" s="49">
        <v>4000000</v>
      </c>
    </row>
    <row r="68" spans="1:5" x14ac:dyDescent="0.2">
      <c r="A68" s="44" t="s">
        <v>174</v>
      </c>
      <c r="B68" s="49">
        <v>1500000</v>
      </c>
      <c r="C68" s="49">
        <v>2500000</v>
      </c>
      <c r="D68" s="49">
        <v>3000000</v>
      </c>
      <c r="E68" s="49">
        <v>4000000</v>
      </c>
    </row>
    <row r="69" spans="1:5" x14ac:dyDescent="0.2">
      <c r="B69" s="51" t="s">
        <v>199</v>
      </c>
      <c r="C69" s="51" t="s">
        <v>200</v>
      </c>
      <c r="D69" s="51" t="s">
        <v>201</v>
      </c>
      <c r="E69" s="51" t="s">
        <v>202</v>
      </c>
    </row>
    <row r="70" spans="1:5" x14ac:dyDescent="0.2">
      <c r="A70" s="44" t="s">
        <v>176</v>
      </c>
      <c r="B70" s="49">
        <f>19998000+14850400</f>
        <v>34848400</v>
      </c>
      <c r="C70" s="49">
        <f>33777840+22518560</f>
        <v>56296400</v>
      </c>
      <c r="D70" s="49">
        <f>44262240+29508160</f>
        <v>73770400</v>
      </c>
      <c r="E70" s="49">
        <f>44262240+29508160</f>
        <v>73770400</v>
      </c>
    </row>
    <row r="71" spans="1:5" x14ac:dyDescent="0.2">
      <c r="A71" s="44" t="s">
        <v>178</v>
      </c>
      <c r="B71" s="49">
        <v>34000000</v>
      </c>
      <c r="C71" s="49">
        <v>55000000</v>
      </c>
      <c r="D71" s="49">
        <v>76000000</v>
      </c>
      <c r="E71" s="49">
        <v>87000000</v>
      </c>
    </row>
    <row r="72" spans="1:5" x14ac:dyDescent="0.2">
      <c r="A72" s="44" t="s">
        <v>179</v>
      </c>
      <c r="B72" s="49">
        <f>24545400+16363600</f>
        <v>40909000</v>
      </c>
      <c r="C72" s="49">
        <f>37339320+24892880</f>
        <v>62232200</v>
      </c>
      <c r="D72" s="49">
        <f>48688500+32459000</f>
        <v>81147500</v>
      </c>
      <c r="E72" s="49">
        <f>61152756+40768504</f>
        <v>101921260</v>
      </c>
    </row>
    <row r="73" spans="1:5" x14ac:dyDescent="0.2">
      <c r="A73" s="44" t="s">
        <v>180</v>
      </c>
      <c r="B73" s="49">
        <f>98636400+65757600</f>
        <v>164394000</v>
      </c>
      <c r="C73" s="49">
        <f>148444440+98962960</f>
        <v>247407400</v>
      </c>
      <c r="D73" s="49">
        <f>197212800+131475200</f>
        <v>328688000</v>
      </c>
      <c r="E73" s="49">
        <f>228175200+152116800</f>
        <v>380292000</v>
      </c>
    </row>
    <row r="74" spans="1:5" x14ac:dyDescent="0.2">
      <c r="A74" s="44" t="s">
        <v>181</v>
      </c>
      <c r="B74" s="49">
        <f>103786200+69190800</f>
        <v>172977000</v>
      </c>
      <c r="C74" s="49">
        <f>155111100+103407400</f>
        <v>258518500</v>
      </c>
      <c r="D74" s="49">
        <f>202131000+134754000</f>
        <v>336885000</v>
      </c>
      <c r="E74" s="49">
        <f>255897840+170598560</f>
        <v>426496400</v>
      </c>
    </row>
    <row r="75" spans="1:5" x14ac:dyDescent="0.2">
      <c r="A75" s="44" t="s">
        <v>182</v>
      </c>
      <c r="B75" s="49">
        <f>189535350+126356900</f>
        <v>315892250</v>
      </c>
      <c r="C75" s="49">
        <f>308971740+205981160</f>
        <v>514952900</v>
      </c>
      <c r="D75" s="49">
        <f>362961540+241974360</f>
        <v>604935900</v>
      </c>
      <c r="E75" s="49">
        <f>459509300+306339530</f>
        <v>765848830</v>
      </c>
    </row>
    <row r="76" spans="1:5" x14ac:dyDescent="0.2">
      <c r="A76" s="44" t="s">
        <v>165</v>
      </c>
      <c r="B76" s="49">
        <f>140499900+93666600</f>
        <v>234166500</v>
      </c>
      <c r="C76" s="49">
        <f>194221800+129481200</f>
        <v>323703000</v>
      </c>
      <c r="D76" s="49">
        <f>252786900+168524600</f>
        <v>421311500</v>
      </c>
      <c r="E76" s="49">
        <f>320028210+213352140</f>
        <v>533380350</v>
      </c>
    </row>
    <row r="77" spans="1:5" x14ac:dyDescent="0.2">
      <c r="A77" s="44" t="s">
        <v>167</v>
      </c>
      <c r="B77" s="49">
        <f>43773000+29222000</f>
        <v>72995000</v>
      </c>
      <c r="C77" s="49">
        <f>64444440+42962960</f>
        <v>107407400</v>
      </c>
      <c r="D77" s="49">
        <f>84098040+56065360</f>
        <v>140163400</v>
      </c>
      <c r="E77" s="49">
        <f>106468110+70978745</f>
        <v>177446855</v>
      </c>
    </row>
    <row r="78" spans="1:5" x14ac:dyDescent="0.2">
      <c r="A78" s="44" t="s">
        <v>168</v>
      </c>
      <c r="B78" s="49">
        <f>213180300+142120200</f>
        <v>355300500</v>
      </c>
      <c r="C78" s="49">
        <f>323555520+215703680</f>
        <v>539259200</v>
      </c>
      <c r="D78" s="49">
        <f>421475400+280983600</f>
        <v>702459000</v>
      </c>
      <c r="E78" s="49">
        <f>500291290+333527530</f>
        <v>833818820</v>
      </c>
    </row>
    <row r="79" spans="1:5" x14ac:dyDescent="0.2">
      <c r="A79" s="44" t="s">
        <v>170</v>
      </c>
      <c r="B79" s="49">
        <f>168586352+112390900</f>
        <v>280977252</v>
      </c>
      <c r="C79" s="49">
        <f>271555500+181037000</f>
        <v>452592500</v>
      </c>
      <c r="D79" s="49">
        <f>354098340+236065560</f>
        <v>590163900</v>
      </c>
      <c r="E79" s="49">
        <f>448288490+298858990</f>
        <v>747147480</v>
      </c>
    </row>
    <row r="80" spans="1:5" x14ac:dyDescent="0.2">
      <c r="A80" s="44" t="s">
        <v>172</v>
      </c>
      <c r="B80" s="49">
        <f>103181700+68787800</f>
        <v>171969500</v>
      </c>
      <c r="C80" s="49">
        <f>156156121+104104080</f>
        <v>260260201</v>
      </c>
      <c r="D80" s="49">
        <f>206557380+137704920</f>
        <v>344262300</v>
      </c>
      <c r="E80" s="49">
        <f>265426230+176950820</f>
        <v>442377050</v>
      </c>
    </row>
    <row r="81" spans="1:5" x14ac:dyDescent="0.2">
      <c r="A81" s="44" t="s">
        <v>174</v>
      </c>
      <c r="B81" s="49">
        <f>22275600+13332000</f>
        <v>35607600</v>
      </c>
      <c r="C81" s="49">
        <f>30222180+20148120</f>
        <v>50370300</v>
      </c>
      <c r="D81" s="49">
        <f>40327860+26885240</f>
        <v>67213100</v>
      </c>
      <c r="E81" s="49">
        <f>40327860+26885240</f>
        <v>67213100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12</vt:i4>
      </vt:variant>
    </vt:vector>
  </HeadingPairs>
  <TitlesOfParts>
    <vt:vector size="12" baseType="lpstr">
      <vt:lpstr>ΣΠΟΥΔΑΣΤΕΣ</vt:lpstr>
      <vt:lpstr>1</vt:lpstr>
      <vt:lpstr>2</vt:lpstr>
      <vt:lpstr>3</vt:lpstr>
      <vt:lpstr>4</vt:lpstr>
      <vt:lpstr>5</vt:lpstr>
      <vt:lpstr>6</vt:lpstr>
      <vt:lpstr>7</vt:lpstr>
      <vt:lpstr>8</vt:lpstr>
      <vt:lpstr>9</vt:lpstr>
      <vt:lpstr>10</vt:lpstr>
      <vt:lpstr>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2020-03-24T16:48:41Z</dcterms:modified>
</cp:coreProperties>
</file>