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user\Downloads\"/>
    </mc:Choice>
  </mc:AlternateContent>
  <xr:revisionPtr revIDLastSave="0" documentId="13_ncr:1_{EEAD33A7-B0E5-4E3B-A2D5-29B7D033DEC8}" xr6:coauthVersionLast="36" xr6:coauthVersionMax="36" xr10:uidLastSave="{00000000-0000-0000-0000-000000000000}"/>
  <bookViews>
    <workbookView xWindow="0" yWindow="0" windowWidth="23040" windowHeight="10404" xr2:uid="{E0057DD9-5CAC-4DF3-84AC-E4AD7405E19C}"/>
  </bookViews>
  <sheets>
    <sheet name="CoolingTow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 l="1"/>
  <c r="Y7" i="1" l="1"/>
  <c r="AH4" i="1"/>
  <c r="AL8" i="1" l="1"/>
  <c r="Z7" i="1"/>
  <c r="AA7" i="1" s="1"/>
  <c r="AB7" i="1" s="1"/>
  <c r="Y8" i="1"/>
  <c r="I3" i="1"/>
  <c r="J3" i="1" s="1"/>
  <c r="K3" i="1" s="1"/>
  <c r="L3" i="1" s="1"/>
  <c r="M3" i="1" s="1"/>
  <c r="Z8" i="1" l="1"/>
  <c r="AA8" i="1" s="1"/>
  <c r="AB8" i="1" s="1"/>
  <c r="Y9" i="1"/>
  <c r="U10" i="1"/>
  <c r="U6" i="1" s="1"/>
  <c r="U8" i="1" s="1"/>
  <c r="E6" i="1"/>
  <c r="E7" i="1" s="1"/>
  <c r="E9" i="1" s="1"/>
  <c r="E10" i="1" s="1"/>
  <c r="E11" i="1" s="1"/>
  <c r="AH5" i="1"/>
  <c r="AI5" i="1" s="1"/>
  <c r="AI4" i="1"/>
  <c r="S4" i="1"/>
  <c r="R4" i="1"/>
  <c r="Q4" i="1"/>
  <c r="Q5" i="1" s="1"/>
  <c r="Q6" i="1" s="1"/>
  <c r="Q7" i="1" s="1"/>
  <c r="H8" i="1"/>
  <c r="AC7" i="1"/>
  <c r="AD7" i="1" s="1"/>
  <c r="I7" i="1"/>
  <c r="J7" i="1" s="1"/>
  <c r="K7" i="1" s="1"/>
  <c r="L7" i="1" s="1"/>
  <c r="M7" i="1" s="1"/>
  <c r="H9" i="1" l="1"/>
  <c r="U11" i="1"/>
  <c r="AL13" i="1"/>
  <c r="U13" i="1"/>
  <c r="R5" i="1"/>
  <c r="AH6" i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Z9" i="1"/>
  <c r="AA9" i="1" s="1"/>
  <c r="AB9" i="1" s="1"/>
  <c r="AC9" i="1" s="1"/>
  <c r="AD9" i="1" s="1"/>
  <c r="Y10" i="1"/>
  <c r="E12" i="1"/>
  <c r="I8" i="1"/>
  <c r="J8" i="1" s="1"/>
  <c r="K8" i="1" s="1"/>
  <c r="L8" i="1" s="1"/>
  <c r="M8" i="1" s="1"/>
  <c r="O7" i="1" s="1"/>
  <c r="Q8" i="1"/>
  <c r="R8" i="1" s="1"/>
  <c r="S7" i="1"/>
  <c r="H10" i="1"/>
  <c r="I9" i="1"/>
  <c r="J9" i="1" s="1"/>
  <c r="K9" i="1" s="1"/>
  <c r="L9" i="1" s="1"/>
  <c r="M9" i="1" s="1"/>
  <c r="AC8" i="1"/>
  <c r="AD8" i="1" s="1"/>
  <c r="AF7" i="1" s="1"/>
  <c r="S5" i="1"/>
  <c r="R7" i="1"/>
  <c r="R6" i="1"/>
  <c r="S6" i="1"/>
  <c r="AI20" i="1" l="1"/>
  <c r="AI17" i="1"/>
  <c r="AI14" i="1"/>
  <c r="AI8" i="1"/>
  <c r="AI25" i="1"/>
  <c r="AI6" i="1"/>
  <c r="AI21" i="1"/>
  <c r="AI10" i="1"/>
  <c r="AI15" i="1"/>
  <c r="AI11" i="1"/>
  <c r="AF8" i="1"/>
  <c r="AI13" i="1"/>
  <c r="AI16" i="1"/>
  <c r="AI23" i="1"/>
  <c r="AI9" i="1"/>
  <c r="AI18" i="1"/>
  <c r="AI12" i="1"/>
  <c r="AI24" i="1"/>
  <c r="AI19" i="1"/>
  <c r="O8" i="1"/>
  <c r="AI22" i="1"/>
  <c r="AI7" i="1"/>
  <c r="AI26" i="1"/>
  <c r="AI27" i="1"/>
  <c r="AI28" i="1"/>
  <c r="Z10" i="1"/>
  <c r="AA10" i="1" s="1"/>
  <c r="AB10" i="1" s="1"/>
  <c r="AC10" i="1" s="1"/>
  <c r="AD10" i="1" s="1"/>
  <c r="AF9" i="1" s="1"/>
  <c r="Y11" i="1"/>
  <c r="I10" i="1"/>
  <c r="J10" i="1" s="1"/>
  <c r="K10" i="1" s="1"/>
  <c r="L10" i="1" s="1"/>
  <c r="M10" i="1" s="1"/>
  <c r="O9" i="1" s="1"/>
  <c r="H11" i="1"/>
  <c r="S8" i="1"/>
  <c r="Q9" i="1"/>
  <c r="Z11" i="1" l="1"/>
  <c r="AA11" i="1" s="1"/>
  <c r="AB11" i="1" s="1"/>
  <c r="AC11" i="1" s="1"/>
  <c r="AD11" i="1" s="1"/>
  <c r="AF10" i="1" s="1"/>
  <c r="Y12" i="1"/>
  <c r="S9" i="1"/>
  <c r="Q10" i="1"/>
  <c r="R9" i="1"/>
  <c r="H12" i="1"/>
  <c r="I11" i="1"/>
  <c r="J11" i="1" s="1"/>
  <c r="K11" i="1" s="1"/>
  <c r="L11" i="1" s="1"/>
  <c r="M11" i="1" s="1"/>
  <c r="O10" i="1" s="1"/>
  <c r="Z12" i="1" l="1"/>
  <c r="AA12" i="1" s="1"/>
  <c r="AB12" i="1" s="1"/>
  <c r="AC12" i="1" s="1"/>
  <c r="AD12" i="1" s="1"/>
  <c r="AF11" i="1" s="1"/>
  <c r="Y13" i="1"/>
  <c r="I12" i="1"/>
  <c r="J12" i="1" s="1"/>
  <c r="K12" i="1" s="1"/>
  <c r="L12" i="1" s="1"/>
  <c r="M12" i="1" s="1"/>
  <c r="O11" i="1" s="1"/>
  <c r="H13" i="1"/>
  <c r="Q11" i="1"/>
  <c r="S10" i="1"/>
  <c r="R10" i="1"/>
  <c r="Z13" i="1" l="1"/>
  <c r="AA13" i="1" s="1"/>
  <c r="AB13" i="1" s="1"/>
  <c r="AC13" i="1" s="1"/>
  <c r="AD13" i="1" s="1"/>
  <c r="AF12" i="1" s="1"/>
  <c r="Y14" i="1"/>
  <c r="H14" i="1"/>
  <c r="I13" i="1"/>
  <c r="J13" i="1" s="1"/>
  <c r="K13" i="1" s="1"/>
  <c r="L13" i="1" s="1"/>
  <c r="M13" i="1" s="1"/>
  <c r="O12" i="1" s="1"/>
  <c r="Q12" i="1"/>
  <c r="R11" i="1"/>
  <c r="S11" i="1"/>
  <c r="Z14" i="1" l="1"/>
  <c r="AA14" i="1" s="1"/>
  <c r="AB14" i="1" s="1"/>
  <c r="AC14" i="1" s="1"/>
  <c r="AD14" i="1" s="1"/>
  <c r="AF13" i="1" s="1"/>
  <c r="Y15" i="1"/>
  <c r="S12" i="1"/>
  <c r="Q13" i="1"/>
  <c r="R12" i="1"/>
  <c r="H15" i="1"/>
  <c r="I14" i="1"/>
  <c r="J14" i="1" s="1"/>
  <c r="K14" i="1" s="1"/>
  <c r="L14" i="1" s="1"/>
  <c r="M14" i="1" s="1"/>
  <c r="O13" i="1" s="1"/>
  <c r="Z15" i="1" l="1"/>
  <c r="AA15" i="1" s="1"/>
  <c r="AB15" i="1" s="1"/>
  <c r="AC15" i="1" s="1"/>
  <c r="AD15" i="1" s="1"/>
  <c r="AF14" i="1" s="1"/>
  <c r="Y16" i="1"/>
  <c r="H16" i="1"/>
  <c r="I15" i="1"/>
  <c r="J15" i="1" s="1"/>
  <c r="K15" i="1" s="1"/>
  <c r="L15" i="1" s="1"/>
  <c r="M15" i="1" s="1"/>
  <c r="O14" i="1" s="1"/>
  <c r="Q14" i="1"/>
  <c r="S13" i="1"/>
  <c r="R13" i="1"/>
  <c r="Z16" i="1" l="1"/>
  <c r="AA16" i="1" s="1"/>
  <c r="AB16" i="1" s="1"/>
  <c r="AC16" i="1" s="1"/>
  <c r="AD16" i="1" s="1"/>
  <c r="AF15" i="1" s="1"/>
  <c r="Y17" i="1"/>
  <c r="S14" i="1"/>
  <c r="Q15" i="1"/>
  <c r="R14" i="1"/>
  <c r="H17" i="1"/>
  <c r="I16" i="1"/>
  <c r="J16" i="1" s="1"/>
  <c r="K16" i="1" s="1"/>
  <c r="L16" i="1" s="1"/>
  <c r="M16" i="1" s="1"/>
  <c r="O15" i="1" s="1"/>
  <c r="Z17" i="1" l="1"/>
  <c r="AA17" i="1" s="1"/>
  <c r="AB17" i="1" s="1"/>
  <c r="AC17" i="1" s="1"/>
  <c r="AD17" i="1" s="1"/>
  <c r="AF16" i="1" s="1"/>
  <c r="Y18" i="1"/>
  <c r="H18" i="1"/>
  <c r="I17" i="1"/>
  <c r="J17" i="1" s="1"/>
  <c r="K17" i="1" s="1"/>
  <c r="L17" i="1" s="1"/>
  <c r="M17" i="1" s="1"/>
  <c r="O16" i="1" s="1"/>
  <c r="Q16" i="1"/>
  <c r="R15" i="1"/>
  <c r="S15" i="1"/>
  <c r="Z18" i="1" l="1"/>
  <c r="AA18" i="1" s="1"/>
  <c r="AB18" i="1" s="1"/>
  <c r="AC18" i="1" s="1"/>
  <c r="AD18" i="1" s="1"/>
  <c r="AF17" i="1" s="1"/>
  <c r="Y19" i="1"/>
  <c r="Q17" i="1"/>
  <c r="S16" i="1"/>
  <c r="R16" i="1"/>
  <c r="H19" i="1"/>
  <c r="I18" i="1"/>
  <c r="J18" i="1" s="1"/>
  <c r="K18" i="1" s="1"/>
  <c r="L18" i="1" s="1"/>
  <c r="M18" i="1" s="1"/>
  <c r="O17" i="1" s="1"/>
  <c r="Z19" i="1" l="1"/>
  <c r="AA19" i="1" s="1"/>
  <c r="AB19" i="1" s="1"/>
  <c r="AC19" i="1" s="1"/>
  <c r="AD19" i="1" s="1"/>
  <c r="AF18" i="1" s="1"/>
  <c r="Y20" i="1"/>
  <c r="Q18" i="1"/>
  <c r="R17" i="1"/>
  <c r="S17" i="1"/>
  <c r="H20" i="1"/>
  <c r="I19" i="1"/>
  <c r="J19" i="1" s="1"/>
  <c r="K19" i="1" s="1"/>
  <c r="L19" i="1" s="1"/>
  <c r="M19" i="1" s="1"/>
  <c r="O18" i="1" s="1"/>
  <c r="Z20" i="1" l="1"/>
  <c r="AA20" i="1" s="1"/>
  <c r="AB20" i="1" s="1"/>
  <c r="AC20" i="1" s="1"/>
  <c r="AD20" i="1" s="1"/>
  <c r="AF19" i="1" s="1"/>
  <c r="Y21" i="1"/>
  <c r="H21" i="1"/>
  <c r="I20" i="1"/>
  <c r="J20" i="1" s="1"/>
  <c r="K20" i="1" s="1"/>
  <c r="L20" i="1" s="1"/>
  <c r="M20" i="1" s="1"/>
  <c r="O19" i="1" s="1"/>
  <c r="Q19" i="1"/>
  <c r="S18" i="1"/>
  <c r="R18" i="1"/>
  <c r="Z21" i="1" l="1"/>
  <c r="AA21" i="1" s="1"/>
  <c r="AB21" i="1" s="1"/>
  <c r="AC21" i="1" s="1"/>
  <c r="AD21" i="1" s="1"/>
  <c r="AF20" i="1" s="1"/>
  <c r="Y22" i="1"/>
  <c r="Q20" i="1"/>
  <c r="S19" i="1"/>
  <c r="R19" i="1"/>
  <c r="H22" i="1"/>
  <c r="I21" i="1"/>
  <c r="J21" i="1" s="1"/>
  <c r="K21" i="1" s="1"/>
  <c r="L21" i="1" s="1"/>
  <c r="M21" i="1" s="1"/>
  <c r="O20" i="1" s="1"/>
  <c r="Z22" i="1" l="1"/>
  <c r="AA22" i="1" s="1"/>
  <c r="AB22" i="1" s="1"/>
  <c r="AC22" i="1" s="1"/>
  <c r="AD22" i="1" s="1"/>
  <c r="AF21" i="1" s="1"/>
  <c r="Y23" i="1"/>
  <c r="Q21" i="1"/>
  <c r="S20" i="1"/>
  <c r="R20" i="1"/>
  <c r="H23" i="1"/>
  <c r="I22" i="1"/>
  <c r="J22" i="1" s="1"/>
  <c r="K22" i="1" s="1"/>
  <c r="L22" i="1" s="1"/>
  <c r="M22" i="1" s="1"/>
  <c r="O21" i="1" s="1"/>
  <c r="Z23" i="1" l="1"/>
  <c r="AA23" i="1" s="1"/>
  <c r="AB23" i="1" s="1"/>
  <c r="AC23" i="1" s="1"/>
  <c r="AD23" i="1" s="1"/>
  <c r="AF22" i="1" s="1"/>
  <c r="Y24" i="1"/>
  <c r="Q22" i="1"/>
  <c r="S21" i="1"/>
  <c r="R21" i="1"/>
  <c r="H24" i="1"/>
  <c r="I23" i="1"/>
  <c r="J23" i="1" s="1"/>
  <c r="K23" i="1" s="1"/>
  <c r="L23" i="1" s="1"/>
  <c r="M23" i="1" s="1"/>
  <c r="O22" i="1" s="1"/>
  <c r="Z24" i="1" l="1"/>
  <c r="AA24" i="1" s="1"/>
  <c r="AB24" i="1" s="1"/>
  <c r="AC24" i="1" s="1"/>
  <c r="AD24" i="1" s="1"/>
  <c r="AF23" i="1" s="1"/>
  <c r="Y25" i="1"/>
  <c r="H25" i="1"/>
  <c r="I24" i="1"/>
  <c r="J24" i="1" s="1"/>
  <c r="K24" i="1" s="1"/>
  <c r="L24" i="1" s="1"/>
  <c r="M24" i="1" s="1"/>
  <c r="O23" i="1" s="1"/>
  <c r="Q23" i="1"/>
  <c r="R22" i="1"/>
  <c r="S22" i="1"/>
  <c r="Z25" i="1" l="1"/>
  <c r="AA25" i="1" s="1"/>
  <c r="AB25" i="1" s="1"/>
  <c r="AC25" i="1" s="1"/>
  <c r="AD25" i="1" s="1"/>
  <c r="AF24" i="1" s="1"/>
  <c r="Y26" i="1"/>
  <c r="Q24" i="1"/>
  <c r="S23" i="1"/>
  <c r="R23" i="1"/>
  <c r="H26" i="1"/>
  <c r="I25" i="1"/>
  <c r="J25" i="1" s="1"/>
  <c r="K25" i="1" s="1"/>
  <c r="L25" i="1" s="1"/>
  <c r="M25" i="1" s="1"/>
  <c r="O24" i="1" s="1"/>
  <c r="Z26" i="1" l="1"/>
  <c r="AA26" i="1" s="1"/>
  <c r="AB26" i="1" s="1"/>
  <c r="AC26" i="1" s="1"/>
  <c r="AD26" i="1" s="1"/>
  <c r="AF25" i="1" s="1"/>
  <c r="Y27" i="1"/>
  <c r="Y28" i="1" s="1"/>
  <c r="Y29" i="1" s="1"/>
  <c r="Q25" i="1"/>
  <c r="S24" i="1"/>
  <c r="R24" i="1"/>
  <c r="H27" i="1"/>
  <c r="I26" i="1"/>
  <c r="J26" i="1" s="1"/>
  <c r="K26" i="1" s="1"/>
  <c r="L26" i="1" s="1"/>
  <c r="M26" i="1" s="1"/>
  <c r="O25" i="1" s="1"/>
  <c r="Y30" i="1" l="1"/>
  <c r="Z27" i="1"/>
  <c r="AA27" i="1" s="1"/>
  <c r="AB27" i="1" s="1"/>
  <c r="AC27" i="1" s="1"/>
  <c r="AD27" i="1" s="1"/>
  <c r="AF26" i="1" s="1"/>
  <c r="H28" i="1"/>
  <c r="I27" i="1"/>
  <c r="J27" i="1" s="1"/>
  <c r="K27" i="1" s="1"/>
  <c r="L27" i="1" s="1"/>
  <c r="M27" i="1" s="1"/>
  <c r="O26" i="1" s="1"/>
  <c r="Q26" i="1"/>
  <c r="R25" i="1"/>
  <c r="S25" i="1"/>
  <c r="Y31" i="1" l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Z28" i="1"/>
  <c r="AA28" i="1" s="1"/>
  <c r="AB28" i="1" s="1"/>
  <c r="AC28" i="1" s="1"/>
  <c r="AD28" i="1" s="1"/>
  <c r="R26" i="1"/>
  <c r="S26" i="1"/>
  <c r="H29" i="1"/>
  <c r="I28" i="1"/>
  <c r="J28" i="1" s="1"/>
  <c r="K28" i="1" s="1"/>
  <c r="L28" i="1" s="1"/>
  <c r="M28" i="1" s="1"/>
  <c r="O27" i="1" s="1"/>
  <c r="AF27" i="1" l="1"/>
  <c r="Z29" i="1"/>
  <c r="AA29" i="1" s="1"/>
  <c r="AB29" i="1" s="1"/>
  <c r="AC29" i="1" s="1"/>
  <c r="AD29" i="1" s="1"/>
  <c r="H30" i="1"/>
  <c r="I29" i="1"/>
  <c r="J29" i="1" s="1"/>
  <c r="K29" i="1" s="1"/>
  <c r="L29" i="1" s="1"/>
  <c r="M29" i="1" s="1"/>
  <c r="O28" i="1" s="1"/>
  <c r="O5" i="1" s="1"/>
  <c r="U15" i="1" s="1"/>
  <c r="AL15" i="1" s="1"/>
  <c r="AF28" i="1" l="1"/>
  <c r="Z30" i="1"/>
  <c r="AA30" i="1" s="1"/>
  <c r="AB30" i="1" s="1"/>
  <c r="AC30" i="1" s="1"/>
  <c r="AD30" i="1" s="1"/>
  <c r="AF29" i="1" s="1"/>
  <c r="I30" i="1"/>
  <c r="J30" i="1" s="1"/>
  <c r="K30" i="1" s="1"/>
  <c r="L30" i="1" s="1"/>
  <c r="M30" i="1" s="1"/>
  <c r="H31" i="1"/>
  <c r="Z31" i="1" l="1"/>
  <c r="AA31" i="1" s="1"/>
  <c r="AB31" i="1" s="1"/>
  <c r="AC31" i="1" s="1"/>
  <c r="AD31" i="1" s="1"/>
  <c r="AF4" i="1" s="1"/>
  <c r="H32" i="1"/>
  <c r="I31" i="1"/>
  <c r="J31" i="1" s="1"/>
  <c r="K31" i="1" s="1"/>
  <c r="L31" i="1" s="1"/>
  <c r="M31" i="1" s="1"/>
  <c r="Z32" i="1" l="1"/>
  <c r="AA32" i="1" s="1"/>
  <c r="AB32" i="1" s="1"/>
  <c r="AC32" i="1" s="1"/>
  <c r="AD32" i="1" s="1"/>
  <c r="H33" i="1"/>
  <c r="I32" i="1"/>
  <c r="J32" i="1" s="1"/>
  <c r="K32" i="1" s="1"/>
  <c r="L32" i="1" s="1"/>
  <c r="M32" i="1" s="1"/>
  <c r="Z33" i="1" l="1"/>
  <c r="AA33" i="1" s="1"/>
  <c r="AB33" i="1" s="1"/>
  <c r="AC33" i="1" s="1"/>
  <c r="AD33" i="1" s="1"/>
  <c r="H34" i="1"/>
  <c r="I33" i="1"/>
  <c r="J33" i="1" s="1"/>
  <c r="K33" i="1" s="1"/>
  <c r="L33" i="1" s="1"/>
  <c r="M33" i="1" s="1"/>
  <c r="Z34" i="1" l="1"/>
  <c r="AA34" i="1" s="1"/>
  <c r="AB34" i="1" s="1"/>
  <c r="AC34" i="1" s="1"/>
  <c r="AD34" i="1" s="1"/>
  <c r="I34" i="1"/>
  <c r="J34" i="1" s="1"/>
  <c r="K34" i="1" s="1"/>
  <c r="L34" i="1" s="1"/>
  <c r="M34" i="1" s="1"/>
  <c r="H35" i="1"/>
  <c r="Z35" i="1" l="1"/>
  <c r="AA35" i="1" s="1"/>
  <c r="AB35" i="1" s="1"/>
  <c r="AC35" i="1" s="1"/>
  <c r="AD35" i="1" s="1"/>
  <c r="H36" i="1"/>
  <c r="I35" i="1"/>
  <c r="J35" i="1" s="1"/>
  <c r="K35" i="1" s="1"/>
  <c r="L35" i="1" s="1"/>
  <c r="M35" i="1" s="1"/>
  <c r="Z36" i="1" l="1"/>
  <c r="AA36" i="1" s="1"/>
  <c r="AB36" i="1" s="1"/>
  <c r="AC36" i="1" s="1"/>
  <c r="AD36" i="1" s="1"/>
  <c r="H37" i="1"/>
  <c r="I36" i="1"/>
  <c r="J36" i="1" s="1"/>
  <c r="K36" i="1" s="1"/>
  <c r="L36" i="1" s="1"/>
  <c r="M36" i="1" s="1"/>
  <c r="Z37" i="1" l="1"/>
  <c r="AA37" i="1" s="1"/>
  <c r="AB37" i="1" s="1"/>
  <c r="AC37" i="1" s="1"/>
  <c r="AD37" i="1" s="1"/>
  <c r="H38" i="1"/>
  <c r="I37" i="1"/>
  <c r="J37" i="1" s="1"/>
  <c r="K37" i="1" s="1"/>
  <c r="L37" i="1" s="1"/>
  <c r="M37" i="1" s="1"/>
  <c r="Z38" i="1" l="1"/>
  <c r="AA38" i="1" s="1"/>
  <c r="AB38" i="1" s="1"/>
  <c r="AC38" i="1" s="1"/>
  <c r="AD38" i="1" s="1"/>
  <c r="H39" i="1"/>
  <c r="I38" i="1"/>
  <c r="J38" i="1" s="1"/>
  <c r="K38" i="1" s="1"/>
  <c r="L38" i="1" s="1"/>
  <c r="M38" i="1" s="1"/>
  <c r="Z39" i="1" l="1"/>
  <c r="AA39" i="1" s="1"/>
  <c r="AB39" i="1" s="1"/>
  <c r="AC39" i="1" s="1"/>
  <c r="AD39" i="1" s="1"/>
  <c r="Z41" i="1"/>
  <c r="AA41" i="1" s="1"/>
  <c r="AB41" i="1" s="1"/>
  <c r="AC41" i="1" s="1"/>
  <c r="AD41" i="1" s="1"/>
  <c r="H40" i="1"/>
  <c r="I39" i="1"/>
  <c r="J39" i="1" s="1"/>
  <c r="K39" i="1" s="1"/>
  <c r="L39" i="1" s="1"/>
  <c r="M39" i="1" s="1"/>
  <c r="Z40" i="1" l="1"/>
  <c r="AA40" i="1" s="1"/>
  <c r="AB40" i="1" s="1"/>
  <c r="AC40" i="1" s="1"/>
  <c r="AD40" i="1" s="1"/>
  <c r="H41" i="1"/>
  <c r="I40" i="1"/>
  <c r="J40" i="1" s="1"/>
  <c r="K40" i="1" s="1"/>
  <c r="L40" i="1" s="1"/>
  <c r="M40" i="1" s="1"/>
  <c r="I41" i="1" l="1"/>
  <c r="J41" i="1" s="1"/>
  <c r="K41" i="1" s="1"/>
  <c r="L41" i="1" s="1"/>
  <c r="M41" i="1" s="1"/>
</calcChain>
</file>

<file path=xl/sharedStrings.xml><?xml version="1.0" encoding="utf-8"?>
<sst xmlns="http://schemas.openxmlformats.org/spreadsheetml/2006/main" count="79" uniqueCount="54">
  <si>
    <t>CALCULATION OF WATER VAPOUR PRESSURE</t>
  </si>
  <si>
    <t>CALCULATION OF INTERFACIAL WET ENTHALPY</t>
  </si>
  <si>
    <t>(design)</t>
  </si>
  <si>
    <t>INTEGRATION</t>
  </si>
  <si>
    <t>(new)</t>
  </si>
  <si>
    <t>Tc=</t>
  </si>
  <si>
    <t>K</t>
  </si>
  <si>
    <t>T</t>
  </si>
  <si>
    <t>θ</t>
  </si>
  <si>
    <t>Pws</t>
  </si>
  <si>
    <t>w_sat</t>
  </si>
  <si>
    <t>H_i</t>
  </si>
  <si>
    <t>H</t>
  </si>
  <si>
    <t>int_dTL_des</t>
  </si>
  <si>
    <t>Pw_sat</t>
  </si>
  <si>
    <t>Design conditions</t>
  </si>
  <si>
    <t>New conditions</t>
  </si>
  <si>
    <t>Pc=</t>
  </si>
  <si>
    <t>kPa</t>
  </si>
  <si>
    <t>T_L</t>
  </si>
  <si>
    <t>H_max</t>
  </si>
  <si>
    <t>T_L1=</t>
  </si>
  <si>
    <t>C1=</t>
  </si>
  <si>
    <t>H_1=</t>
  </si>
  <si>
    <t>C2=</t>
  </si>
  <si>
    <t>T=</t>
  </si>
  <si>
    <t>G_B=</t>
  </si>
  <si>
    <t>kg/h</t>
  </si>
  <si>
    <t>C3=</t>
  </si>
  <si>
    <t>θ=</t>
  </si>
  <si>
    <t>L=</t>
  </si>
  <si>
    <t>C4=</t>
  </si>
  <si>
    <t>Cp,L=</t>
  </si>
  <si>
    <t>kJ/kgK</t>
  </si>
  <si>
    <t>C5=</t>
  </si>
  <si>
    <t>ratio=</t>
  </si>
  <si>
    <t>C6=</t>
  </si>
  <si>
    <t>g A/kgB</t>
  </si>
  <si>
    <t>ratio_max=</t>
  </si>
  <si>
    <t>L_max=</t>
  </si>
  <si>
    <t>T_L2=</t>
  </si>
  <si>
    <t>H_2=</t>
  </si>
  <si>
    <t>C_tower=</t>
  </si>
  <si>
    <t>HTU=</t>
  </si>
  <si>
    <t>HTU</t>
  </si>
  <si>
    <t>RH%=</t>
  </si>
  <si>
    <t>w=</t>
  </si>
  <si>
    <t>H=</t>
  </si>
  <si>
    <t>kJ/kgB</t>
  </si>
  <si>
    <t>P=</t>
  </si>
  <si>
    <t>ratio=-0,41</t>
  </si>
  <si>
    <r>
      <t>P</t>
    </r>
    <r>
      <rPr>
        <b/>
        <vertAlign val="subscript"/>
        <sz val="11"/>
        <color theme="1"/>
        <rFont val="Calibri"/>
        <family val="2"/>
        <charset val="161"/>
        <scheme val="minor"/>
      </rPr>
      <t>A</t>
    </r>
    <r>
      <rPr>
        <b/>
        <sz val="11"/>
        <color theme="1"/>
        <rFont val="Calibri"/>
        <family val="2"/>
        <charset val="161"/>
        <scheme val="minor"/>
      </rPr>
      <t>=</t>
    </r>
  </si>
  <si>
    <t>ratio/ratio_max</t>
  </si>
  <si>
    <t>T_L1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</si>
</sst>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9" tint="-0.499984740745262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i/>
      <sz val="11"/>
      <color theme="8" tint="-0.249977111117893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vertAlign val="subscript"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0" fillId="3" borderId="0" xfId="0" applyFill="1"/>
    <xf numFmtId="16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3" fillId="4" borderId="0" xfId="0" applyFont="1" applyFill="1"/>
    <xf numFmtId="164" fontId="3" fillId="4" borderId="0" xfId="0" applyNumberFormat="1" applyFont="1" applyFill="1"/>
    <xf numFmtId="0" fontId="2" fillId="0" borderId="0" xfId="0" quotePrefix="1" applyFont="1"/>
    <xf numFmtId="0" fontId="3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2" fontId="0" fillId="3" borderId="0" xfId="0" applyNumberFormat="1" applyFill="1"/>
    <xf numFmtId="0" fontId="0" fillId="0" borderId="0" xfId="0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CoolingTower!$H$7:$H$57</c:f>
              <c:numCache>
                <c:formatCode>General</c:formatCode>
                <c:ptCount val="51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54</c:v>
                </c:pt>
                <c:pt idx="29">
                  <c:v>55</c:v>
                </c:pt>
                <c:pt idx="30">
                  <c:v>56</c:v>
                </c:pt>
                <c:pt idx="31">
                  <c:v>57</c:v>
                </c:pt>
                <c:pt idx="32">
                  <c:v>58</c:v>
                </c:pt>
                <c:pt idx="33">
                  <c:v>59</c:v>
                </c:pt>
                <c:pt idx="34">
                  <c:v>60</c:v>
                </c:pt>
              </c:numCache>
            </c:numRef>
          </c:xVal>
          <c:yVal>
            <c:numRef>
              <c:f>CoolingTower!$M$7:$M$57</c:f>
              <c:numCache>
                <c:formatCode>General</c:formatCode>
                <c:ptCount val="51"/>
                <c:pt idx="0">
                  <c:v>80.701533006176845</c:v>
                </c:pt>
                <c:pt idx="1">
                  <c:v>85.180502302629776</c:v>
                </c:pt>
                <c:pt idx="2">
                  <c:v>89.860139043476465</c:v>
                </c:pt>
                <c:pt idx="3">
                  <c:v>94.751323058095608</c:v>
                </c:pt>
                <c:pt idx="4">
                  <c:v>99.865544533208748</c:v>
                </c:pt>
                <c:pt idx="5">
                  <c:v>105.21494561729118</c:v>
                </c:pt>
                <c:pt idx="6">
                  <c:v>110.81236570611037</c:v>
                </c:pt>
                <c:pt idx="7">
                  <c:v>116.67139080072373</c:v>
                </c:pt>
                <c:pt idx="8">
                  <c:v>122.8064073766914</c:v>
                </c:pt>
                <c:pt idx="9">
                  <c:v>129.23266125718089</c:v>
                </c:pt>
                <c:pt idx="10">
                  <c:v>135.96632204414885</c:v>
                </c:pt>
                <c:pt idx="11">
                  <c:v>143.02455373204091</c:v>
                </c:pt>
                <c:pt idx="12">
                  <c:v>150.42559220890487</c:v>
                </c:pt>
                <c:pt idx="13">
                  <c:v>158.18883044207757</c:v>
                </c:pt>
                <c:pt idx="14">
                  <c:v>166.33491225172182</c:v>
                </c:pt>
                <c:pt idx="15">
                  <c:v>174.88583569777376</c:v>
                </c:pt>
                <c:pt idx="16">
                  <c:v>183.8650672470884</c:v>
                </c:pt>
                <c:pt idx="17">
                  <c:v>193.29766805108594</c:v>
                </c:pt>
                <c:pt idx="18">
                  <c:v>203.21043385401646</c:v>
                </c:pt>
                <c:pt idx="19">
                  <c:v>213.63205027278383</c:v>
                </c:pt>
                <c:pt idx="20">
                  <c:v>224.59326544693448</c:v>
                </c:pt>
                <c:pt idx="21">
                  <c:v>236.12708235882383</c:v>
                </c:pt>
                <c:pt idx="22">
                  <c:v>248.26897347756338</c:v>
                </c:pt>
                <c:pt idx="23">
                  <c:v>261.05712079634043</c:v>
                </c:pt>
                <c:pt idx="24">
                  <c:v>274.53268482364132</c:v>
                </c:pt>
                <c:pt idx="25">
                  <c:v>288.74010667000346</c:v>
                </c:pt>
                <c:pt idx="26">
                  <c:v>303.72744806204798</c:v>
                </c:pt>
                <c:pt idx="27">
                  <c:v>319.54677493791803</c:v>
                </c:pt>
                <c:pt idx="28">
                  <c:v>336.25459126154192</c:v>
                </c:pt>
                <c:pt idx="29">
                  <c:v>353.91233087324804</c:v>
                </c:pt>
                <c:pt idx="30">
                  <c:v>372.58691661592218</c:v>
                </c:pt>
                <c:pt idx="31">
                  <c:v>392.35139769516377</c:v>
                </c:pt>
                <c:pt idx="32">
                  <c:v>413.28567832000095</c:v>
                </c:pt>
                <c:pt idx="33">
                  <c:v>435.47735321729363</c:v>
                </c:pt>
                <c:pt idx="34">
                  <c:v>459.02266873295764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72-4736-B918-E146CD909C2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CoolingTower!$Q$4:$Q$26</c:f>
              <c:numCache>
                <c:formatCode>General</c:formatCode>
                <c:ptCount val="2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</c:numCache>
            </c:numRef>
          </c:xVal>
          <c:yVal>
            <c:numRef>
              <c:f>CoolingTower!$R$4:$R$26</c:f>
              <c:numCache>
                <c:formatCode>General</c:formatCode>
                <c:ptCount val="23"/>
                <c:pt idx="0">
                  <c:v>58.4</c:v>
                </c:pt>
                <c:pt idx="1">
                  <c:v>62.945</c:v>
                </c:pt>
                <c:pt idx="2">
                  <c:v>67.489999999999995</c:v>
                </c:pt>
                <c:pt idx="3">
                  <c:v>72.034999999999997</c:v>
                </c:pt>
                <c:pt idx="4">
                  <c:v>76.58</c:v>
                </c:pt>
                <c:pt idx="5">
                  <c:v>81.125</c:v>
                </c:pt>
                <c:pt idx="6">
                  <c:v>85.67</c:v>
                </c:pt>
                <c:pt idx="7">
                  <c:v>90.215000000000003</c:v>
                </c:pt>
                <c:pt idx="8">
                  <c:v>94.759999999999991</c:v>
                </c:pt>
                <c:pt idx="9">
                  <c:v>99.305000000000007</c:v>
                </c:pt>
                <c:pt idx="10">
                  <c:v>103.85</c:v>
                </c:pt>
                <c:pt idx="11">
                  <c:v>108.395</c:v>
                </c:pt>
                <c:pt idx="12">
                  <c:v>112.94</c:v>
                </c:pt>
                <c:pt idx="13">
                  <c:v>117.485</c:v>
                </c:pt>
                <c:pt idx="14">
                  <c:v>122.03</c:v>
                </c:pt>
                <c:pt idx="15">
                  <c:v>126.57499999999999</c:v>
                </c:pt>
                <c:pt idx="16">
                  <c:v>131.12</c:v>
                </c:pt>
                <c:pt idx="17">
                  <c:v>135.66499999999999</c:v>
                </c:pt>
                <c:pt idx="18">
                  <c:v>140.21</c:v>
                </c:pt>
                <c:pt idx="19">
                  <c:v>144.755</c:v>
                </c:pt>
                <c:pt idx="20">
                  <c:v>149.30000000000001</c:v>
                </c:pt>
                <c:pt idx="21">
                  <c:v>153.845</c:v>
                </c:pt>
                <c:pt idx="22">
                  <c:v>158.38999999999999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72-4736-B918-E146CD909C2F}"/>
            </c:ext>
          </c:extLst>
        </c:ser>
        <c:ser>
          <c:idx val="2"/>
          <c:order val="2"/>
          <c:spPr>
            <a:ln w="19050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CoolingTower!$Q$4:$Q$26</c:f>
              <c:numCache>
                <c:formatCode>General</c:formatCode>
                <c:ptCount val="2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</c:numCache>
            </c:numRef>
          </c:xVal>
          <c:yVal>
            <c:numRef>
              <c:f>CoolingTower!$S$4:$S$26</c:f>
              <c:numCache>
                <c:formatCode>General</c:formatCode>
                <c:ptCount val="23"/>
                <c:pt idx="0">
                  <c:v>58.4</c:v>
                </c:pt>
                <c:pt idx="1">
                  <c:v>65.974999999999994</c:v>
                </c:pt>
                <c:pt idx="2">
                  <c:v>73.55</c:v>
                </c:pt>
                <c:pt idx="3">
                  <c:v>81.125</c:v>
                </c:pt>
                <c:pt idx="4">
                  <c:v>88.7</c:v>
                </c:pt>
                <c:pt idx="5">
                  <c:v>96.275000000000006</c:v>
                </c:pt>
                <c:pt idx="6">
                  <c:v>103.85</c:v>
                </c:pt>
                <c:pt idx="7">
                  <c:v>111.425</c:v>
                </c:pt>
                <c:pt idx="8">
                  <c:v>119</c:v>
                </c:pt>
                <c:pt idx="9">
                  <c:v>126.57499999999999</c:v>
                </c:pt>
                <c:pt idx="10">
                  <c:v>134.15</c:v>
                </c:pt>
                <c:pt idx="11">
                  <c:v>141.72499999999999</c:v>
                </c:pt>
                <c:pt idx="12">
                  <c:v>149.30000000000001</c:v>
                </c:pt>
                <c:pt idx="13">
                  <c:v>156.875</c:v>
                </c:pt>
                <c:pt idx="14">
                  <c:v>164.45</c:v>
                </c:pt>
                <c:pt idx="15">
                  <c:v>172.02500000000001</c:v>
                </c:pt>
                <c:pt idx="16">
                  <c:v>179.6</c:v>
                </c:pt>
                <c:pt idx="17">
                  <c:v>187.17500000000001</c:v>
                </c:pt>
                <c:pt idx="18">
                  <c:v>194.75</c:v>
                </c:pt>
                <c:pt idx="19">
                  <c:v>202.32500000000002</c:v>
                </c:pt>
                <c:pt idx="20">
                  <c:v>209.9</c:v>
                </c:pt>
                <c:pt idx="21">
                  <c:v>217.47500000000002</c:v>
                </c:pt>
                <c:pt idx="22">
                  <c:v>225.05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72-4736-B918-E146CD90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47672"/>
        <c:axId val="629677600"/>
      </c:scatterChart>
      <c:valAx>
        <c:axId val="63004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677600"/>
        <c:crosses val="autoZero"/>
        <c:crossBetween val="midCat"/>
        <c:minorUnit val="5"/>
      </c:valAx>
      <c:valAx>
        <c:axId val="62967760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04767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13</xdr:row>
      <xdr:rowOff>154305</xdr:rowOff>
    </xdr:from>
    <xdr:to>
      <xdr:col>5</xdr:col>
      <xdr:colOff>594360</xdr:colOff>
      <xdr:row>18</xdr:row>
      <xdr:rowOff>132926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14EC692B-480E-48F8-9CA3-C9E5DDAE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546985"/>
          <a:ext cx="3794760" cy="893021"/>
        </a:xfrm>
        <a:prstGeom prst="rect">
          <a:avLst/>
        </a:prstGeom>
        <a:noFill/>
        <a:ln>
          <a:solidFill>
            <a:srgbClr val="FF0000"/>
          </a:solidFill>
        </a:ln>
      </xdr:spPr>
    </xdr:pic>
    <xdr:clientData/>
  </xdr:twoCellAnchor>
  <xdr:twoCellAnchor>
    <xdr:from>
      <xdr:col>16</xdr:col>
      <xdr:colOff>163830</xdr:colOff>
      <xdr:row>26</xdr:row>
      <xdr:rowOff>32385</xdr:rowOff>
    </xdr:from>
    <xdr:to>
      <xdr:col>23</xdr:col>
      <xdr:colOff>49530</xdr:colOff>
      <xdr:row>44</xdr:row>
      <xdr:rowOff>127635</xdr:rowOff>
    </xdr:to>
    <xdr:graphicFrame macro="">
      <xdr:nvGraphicFramePr>
        <xdr:cNvPr id="3" name="Γράφημα 3">
          <a:extLst>
            <a:ext uri="{FF2B5EF4-FFF2-40B4-BE49-F238E27FC236}">
              <a16:creationId xmlns:a16="http://schemas.microsoft.com/office/drawing/2014/main" id="{28025E7A-AD20-457E-B47A-5E70E2A74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243840</xdr:colOff>
      <xdr:row>16</xdr:row>
      <xdr:rowOff>5715</xdr:rowOff>
    </xdr:from>
    <xdr:to>
      <xdr:col>22</xdr:col>
      <xdr:colOff>327660</xdr:colOff>
      <xdr:row>18</xdr:row>
      <xdr:rowOff>83820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32435EC8-8F96-44D6-BC41-5046BADC8432}"/>
                </a:ext>
              </a:extLst>
            </xdr:cNvPr>
            <xdr:cNvSpPr/>
          </xdr:nvSpPr>
          <xdr:spPr>
            <a:xfrm>
              <a:off x="14782800" y="2947035"/>
              <a:ext cx="2103120" cy="443865"/>
            </a:xfrm>
            <a:prstGeom prst="rect">
              <a:avLst/>
            </a:prstGeom>
            <a:ln>
              <a:solidFill>
                <a:srgbClr val="FF0000"/>
              </a:solidFill>
            </a:ln>
          </xdr:spPr>
          <xdr:txBody>
            <a:bodyPr wrap="square">
              <a:no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1200">
                        <a:latin typeface="Cambria Math" panose="02040503050406030204" pitchFamily="18" charset="0"/>
                      </a:rPr>
                      <m:t>H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l-GR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200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l-GR" sz="120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1200">
                            <a:latin typeface="Cambria Math" panose="02040503050406030204" pitchFamily="18" charset="0"/>
                          </a:rPr>
                          <m:t>L</m:t>
                        </m:r>
                        <m:sSub>
                          <m:sSubPr>
                            <m:ctrlPr>
                              <a:rPr lang="el-GR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c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p</m:t>
                            </m:r>
                            <m:r>
                              <a:rPr lang="el-GR" sz="120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L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l-GR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B</m:t>
                            </m:r>
                          </m:sub>
                        </m:sSub>
                      </m:den>
                    </m:f>
                    <m:d>
                      <m:dPr>
                        <m:ctrlPr>
                          <a:rPr lang="el-GR" sz="1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l-GR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T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L</m:t>
                            </m:r>
                          </m:sub>
                        </m:sSub>
                        <m:r>
                          <a:rPr lang="el-GR" sz="1200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l-GR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T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l-GR" sz="1200">
                                <a:latin typeface="Cambria Math" panose="02040503050406030204" pitchFamily="18" charset="0"/>
                              </a:rPr>
                              <m:t>L</m:t>
                            </m:r>
                            <m:r>
                              <a:rPr lang="el-GR" sz="1200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32435EC8-8F96-44D6-BC41-5046BADC8432}"/>
                </a:ext>
              </a:extLst>
            </xdr:cNvPr>
            <xdr:cNvSpPr/>
          </xdr:nvSpPr>
          <xdr:spPr>
            <a:xfrm>
              <a:off x="14782800" y="2947035"/>
              <a:ext cx="2103120" cy="443865"/>
            </a:xfrm>
            <a:prstGeom prst="rect">
              <a:avLst/>
            </a:prstGeom>
            <a:ln>
              <a:solidFill>
                <a:srgbClr val="FF0000"/>
              </a:solidFill>
            </a:ln>
          </xdr:spPr>
          <xdr:txBody>
            <a:bodyPr wrap="square">
              <a:no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l-GR" sz="1200" i="0">
                  <a:latin typeface="Cambria Math" panose="02040503050406030204" pitchFamily="18" charset="0"/>
                </a:rPr>
                <a:t>H</a:t>
              </a:r>
              <a:r>
                <a:rPr lang="en-US" sz="1200" b="0" i="0">
                  <a:latin typeface="Cambria Math" panose="02040503050406030204" pitchFamily="18" charset="0"/>
                </a:rPr>
                <a:t>=</a:t>
              </a:r>
              <a:r>
                <a:rPr lang="el-GR" sz="1200" i="0">
                  <a:latin typeface="Cambria Math" panose="02040503050406030204" pitchFamily="18" charset="0"/>
                </a:rPr>
                <a:t>H_1</a:t>
              </a:r>
              <a:r>
                <a:rPr lang="en-US" sz="1200" b="0" i="0">
                  <a:latin typeface="Cambria Math" panose="02040503050406030204" pitchFamily="18" charset="0"/>
                </a:rPr>
                <a:t>+(</a:t>
              </a:r>
              <a:r>
                <a:rPr lang="el-GR" sz="1200" i="0">
                  <a:latin typeface="Cambria Math" panose="02040503050406030204" pitchFamily="18" charset="0"/>
                </a:rPr>
                <a:t>Lc_(p,L)</a:t>
              </a:r>
              <a:r>
                <a:rPr lang="en-US" sz="1200" b="0" i="0">
                  <a:latin typeface="Cambria Math" panose="02040503050406030204" pitchFamily="18" charset="0"/>
                </a:rPr>
                <a:t>)/</a:t>
              </a:r>
              <a:r>
                <a:rPr lang="el-GR" sz="1200" i="0">
                  <a:latin typeface="Cambria Math" panose="02040503050406030204" pitchFamily="18" charset="0"/>
                </a:rPr>
                <a:t>G_B  (T_L−T_L1 )</a:t>
              </a:r>
              <a:endParaRPr lang="en-US" sz="1200"/>
            </a:p>
          </xdr:txBody>
        </xdr:sp>
      </mc:Fallback>
    </mc:AlternateContent>
    <xdr:clientData/>
  </xdr:twoCellAnchor>
  <xdr:oneCellAnchor>
    <xdr:from>
      <xdr:col>2</xdr:col>
      <xdr:colOff>436244</xdr:colOff>
      <xdr:row>20</xdr:row>
      <xdr:rowOff>15240</xdr:rowOff>
    </xdr:from>
    <xdr:ext cx="2200276" cy="16306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AFF1ECF-A5B1-4F8E-B2A0-DD9BE51AD3E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655444" y="3688080"/>
              <a:ext cx="2200276" cy="163068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𝑤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𝑀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𝑀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𝐵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𝑤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𝑠𝑎𝑡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𝑤</m:t>
                        </m:r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𝑠𝑎𝑡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=−0,41∗</m:t>
                    </m:r>
                    <m:sSup>
                      <m:s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−3</m:t>
                        </m:r>
                      </m:sup>
                    </m:sSup>
                  </m:oMath>
                </m:oMathPara>
              </a14:m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1.01+1.89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𝑤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+2500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𝑤</m:t>
                    </m:r>
                  </m:oMath>
                </m:oMathPara>
              </a14:m>
              <a:endParaRPr lang="en-US" sz="1200" b="0" i="1"/>
            </a:p>
            <a:p>
              <a:pPr/>
              <a:endParaRPr lang="en-US" sz="1200" i="1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AFF1ECF-A5B1-4F8E-B2A0-DD9BE51AD3E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655444" y="3688080"/>
              <a:ext cx="2200276" cy="163068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𝑤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(𝑀_𝐴/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 )∗𝑝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_𝐴/〖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𝑃−𝑝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𝑤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𝑠𝑎𝑡−𝑤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_𝑠𝑎𝑡−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=−0,41∗〖10〗^(−3)</a:t>
              </a:r>
              <a:endParaRPr lang="en-US" sz="120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>
                <a:effectLst/>
              </a:endParaRPr>
            </a:p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𝐻=(1.01+1.89𝑤)𝑇+2500𝑤</a:t>
              </a:r>
              <a:endParaRPr lang="en-US" sz="1200" b="0" i="1"/>
            </a:p>
            <a:p>
              <a:pPr/>
              <a:endParaRPr lang="en-US" sz="1200" i="1"/>
            </a:p>
          </xdr:txBody>
        </xdr:sp>
      </mc:Fallback>
    </mc:AlternateContent>
    <xdr:clientData/>
  </xdr:oneCellAnchor>
  <xdr:twoCellAnchor editAs="oneCell">
    <xdr:from>
      <xdr:col>11</xdr:col>
      <xdr:colOff>205740</xdr:colOff>
      <xdr:row>3</xdr:row>
      <xdr:rowOff>62868</xdr:rowOff>
    </xdr:from>
    <xdr:to>
      <xdr:col>13</xdr:col>
      <xdr:colOff>680085</xdr:colOff>
      <xdr:row>5</xdr:row>
      <xdr:rowOff>138078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1A56CB-CE11-411D-913E-9E50AA7F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0" y="611508"/>
          <a:ext cx="1693545" cy="440970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C4AA-243A-4B87-97B4-BFA624098F7C}">
  <dimension ref="A1:AM41"/>
  <sheetViews>
    <sheetView tabSelected="1" topLeftCell="H1" zoomScaleNormal="100" workbookViewId="0">
      <selection activeCell="X21" sqref="X21"/>
    </sheetView>
  </sheetViews>
  <sheetFormatPr defaultRowHeight="14.4" x14ac:dyDescent="0.3"/>
  <cols>
    <col min="3" max="3" width="7.77734375" customWidth="1"/>
    <col min="4" max="4" width="11.21875" customWidth="1"/>
    <col min="5" max="5" width="10.77734375" customWidth="1"/>
    <col min="14" max="14" width="11.109375" customWidth="1"/>
    <col min="15" max="15" width="14.44140625" customWidth="1"/>
    <col min="16" max="16" width="8" customWidth="1"/>
    <col min="20" max="20" width="11.6640625" customWidth="1"/>
    <col min="32" max="32" width="9.44140625" customWidth="1"/>
  </cols>
  <sheetData>
    <row r="1" spans="1:39" x14ac:dyDescent="0.3">
      <c r="A1" s="1" t="s">
        <v>0</v>
      </c>
      <c r="B1" s="2"/>
      <c r="C1" s="2"/>
      <c r="D1" s="2"/>
      <c r="E1" s="2"/>
      <c r="I1" s="1" t="s">
        <v>1</v>
      </c>
      <c r="J1" s="2"/>
      <c r="K1" s="2"/>
      <c r="L1" s="2"/>
      <c r="M1" s="2"/>
      <c r="N1" s="3" t="s">
        <v>2</v>
      </c>
      <c r="O1" s="4" t="s">
        <v>3</v>
      </c>
      <c r="P1" s="22"/>
      <c r="Z1" s="1" t="s">
        <v>1</v>
      </c>
      <c r="AA1" s="2"/>
      <c r="AB1" s="2"/>
      <c r="AC1" s="2"/>
      <c r="AD1" s="2"/>
      <c r="AE1" s="3" t="s">
        <v>4</v>
      </c>
      <c r="AF1" s="4" t="s">
        <v>3</v>
      </c>
    </row>
    <row r="2" spans="1:39" x14ac:dyDescent="0.3">
      <c r="A2" s="5" t="s">
        <v>5</v>
      </c>
      <c r="B2">
        <v>647.096</v>
      </c>
      <c r="C2" s="6" t="s">
        <v>6</v>
      </c>
      <c r="H2" s="5" t="s">
        <v>7</v>
      </c>
      <c r="I2" s="5" t="s">
        <v>8</v>
      </c>
      <c r="J2" s="5"/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/>
      <c r="Q2" s="1" t="s">
        <v>15</v>
      </c>
      <c r="R2" s="2"/>
      <c r="Y2" s="5" t="s">
        <v>7</v>
      </c>
      <c r="Z2" s="5" t="s">
        <v>8</v>
      </c>
      <c r="AA2" s="5"/>
      <c r="AB2" s="5" t="s">
        <v>14</v>
      </c>
      <c r="AC2" s="5" t="s">
        <v>10</v>
      </c>
      <c r="AD2" s="5" t="s">
        <v>11</v>
      </c>
      <c r="AE2" s="5" t="s">
        <v>12</v>
      </c>
      <c r="AF2" s="5"/>
      <c r="AH2" s="1" t="s">
        <v>16</v>
      </c>
      <c r="AI2" s="7"/>
    </row>
    <row r="3" spans="1:39" x14ac:dyDescent="0.3">
      <c r="A3" s="5" t="s">
        <v>17</v>
      </c>
      <c r="B3">
        <v>22064</v>
      </c>
      <c r="C3" s="6" t="s">
        <v>18</v>
      </c>
      <c r="H3" s="21">
        <v>20.3</v>
      </c>
      <c r="I3" s="6">
        <f>1-(H3+273.15)/$B$2</f>
        <v>0.54651241855922461</v>
      </c>
      <c r="J3" s="6">
        <f>$B$4*I3+$B$5*I3^1.5+$B$6*I3^3+$B$7*I3^3.5+$B$8*I3^4+$B$9*I3^7.5</f>
        <v>-4.1418530103197915</v>
      </c>
      <c r="K3" s="6">
        <f>$B$3*EXP($B$2*J3/(273.15+H3))</f>
        <v>2.3830228375770952</v>
      </c>
      <c r="L3" s="6">
        <f>0.6219907*K3/($E$4-K3)</f>
        <v>1.4979922432875149E-2</v>
      </c>
      <c r="M3" s="6">
        <f>(1.01+1.89*L3)*H3+2500*L3</f>
        <v>58.527540766169992</v>
      </c>
      <c r="N3" s="9"/>
      <c r="Q3" s="5" t="s">
        <v>19</v>
      </c>
      <c r="R3" s="5" t="s">
        <v>12</v>
      </c>
      <c r="S3" s="10" t="s">
        <v>20</v>
      </c>
      <c r="T3" s="11" t="s">
        <v>21</v>
      </c>
      <c r="U3" s="12">
        <v>26</v>
      </c>
      <c r="V3" s="12"/>
      <c r="W3" s="12"/>
      <c r="X3" s="24"/>
      <c r="Y3" s="5"/>
      <c r="Z3" s="5"/>
      <c r="AA3" s="5"/>
      <c r="AB3" s="5"/>
      <c r="AC3" s="5"/>
      <c r="AD3" s="5"/>
      <c r="AE3" s="9"/>
      <c r="AH3" s="5" t="s">
        <v>19</v>
      </c>
      <c r="AI3" s="5" t="s">
        <v>12</v>
      </c>
      <c r="AK3" s="12" t="s">
        <v>21</v>
      </c>
      <c r="AL3" s="12">
        <v>26</v>
      </c>
      <c r="AM3" s="12"/>
    </row>
    <row r="4" spans="1:39" x14ac:dyDescent="0.3">
      <c r="A4" s="5" t="s">
        <v>22</v>
      </c>
      <c r="B4" s="13">
        <v>-7.8595178299999997</v>
      </c>
      <c r="D4" s="10" t="s">
        <v>49</v>
      </c>
      <c r="E4">
        <v>101.33</v>
      </c>
      <c r="F4" s="6" t="s">
        <v>18</v>
      </c>
      <c r="H4" s="21"/>
      <c r="I4" s="6"/>
      <c r="J4" s="6"/>
      <c r="K4" s="6"/>
      <c r="L4" s="6"/>
      <c r="M4" s="6"/>
      <c r="N4" s="9"/>
      <c r="O4" s="14"/>
      <c r="P4" s="14"/>
      <c r="Q4">
        <f>U3</f>
        <v>26</v>
      </c>
      <c r="R4">
        <f>U4</f>
        <v>58.4</v>
      </c>
      <c r="S4">
        <f>U4</f>
        <v>58.4</v>
      </c>
      <c r="T4" s="11" t="s">
        <v>23</v>
      </c>
      <c r="U4" s="12">
        <v>58.4</v>
      </c>
      <c r="V4" s="12"/>
      <c r="W4" s="12"/>
      <c r="X4" s="24"/>
      <c r="Y4" s="5"/>
      <c r="Z4" s="5"/>
      <c r="AA4" s="5"/>
      <c r="AB4" s="5"/>
      <c r="AC4" s="5"/>
      <c r="AD4" s="5"/>
      <c r="AE4" s="9"/>
      <c r="AF4" s="14">
        <f>$U$7*SUM(AF7:AF41)</f>
        <v>4.7961646004227161</v>
      </c>
      <c r="AH4">
        <f>$AL$3</f>
        <v>26</v>
      </c>
      <c r="AI4">
        <f>AL4</f>
        <v>58.4</v>
      </c>
      <c r="AK4" s="12" t="s">
        <v>23</v>
      </c>
      <c r="AL4" s="12">
        <v>58.4</v>
      </c>
      <c r="AM4" s="12"/>
    </row>
    <row r="5" spans="1:39" x14ac:dyDescent="0.3">
      <c r="A5" s="5" t="s">
        <v>24</v>
      </c>
      <c r="B5" s="13">
        <v>1.84408259</v>
      </c>
      <c r="D5" s="10" t="s">
        <v>25</v>
      </c>
      <c r="E5">
        <v>28</v>
      </c>
      <c r="H5" s="21"/>
      <c r="I5" s="6"/>
      <c r="J5" s="6"/>
      <c r="K5" s="6"/>
      <c r="L5" s="6"/>
      <c r="M5" s="6"/>
      <c r="N5" s="15"/>
      <c r="O5" s="14">
        <f>$U$7*SUM(O7:O41)</f>
        <v>2.6728673164087895</v>
      </c>
      <c r="Q5">
        <f>Q4+1</f>
        <v>27</v>
      </c>
      <c r="R5">
        <f>$R$4+$U$8*(Q5-$Q$4)</f>
        <v>62.945</v>
      </c>
      <c r="S5">
        <f>$S$4+$U$9*(Q5-$Q$4)</f>
        <v>65.974999999999994</v>
      </c>
      <c r="T5" s="11" t="s">
        <v>26</v>
      </c>
      <c r="U5" s="12">
        <v>800</v>
      </c>
      <c r="V5" s="11" t="s">
        <v>27</v>
      </c>
      <c r="W5" s="11"/>
      <c r="X5" s="25"/>
      <c r="Y5" s="5"/>
      <c r="Z5" s="5"/>
      <c r="AA5" s="5"/>
      <c r="AB5" s="5"/>
      <c r="AC5" s="5"/>
      <c r="AD5" s="5"/>
      <c r="AE5" s="9"/>
      <c r="AH5">
        <f>AH4+1</f>
        <v>27</v>
      </c>
      <c r="AI5">
        <f>$AI$4+$AL$8*(AH5-$AH$4)</f>
        <v>64.67</v>
      </c>
      <c r="AK5" s="12" t="s">
        <v>26</v>
      </c>
      <c r="AL5" s="12">
        <v>800</v>
      </c>
      <c r="AM5" s="11" t="s">
        <v>27</v>
      </c>
    </row>
    <row r="6" spans="1:39" x14ac:dyDescent="0.3">
      <c r="A6" s="5" t="s">
        <v>28</v>
      </c>
      <c r="B6" s="13">
        <v>-11.7866497</v>
      </c>
      <c r="D6" s="10" t="s">
        <v>29</v>
      </c>
      <c r="E6">
        <f>1-(E5+273.15)/B2</f>
        <v>0.53461310222903569</v>
      </c>
      <c r="H6" s="21"/>
      <c r="I6" s="6"/>
      <c r="J6" s="6"/>
      <c r="K6" s="6"/>
      <c r="L6" s="6"/>
      <c r="M6" s="6"/>
      <c r="Q6">
        <f>Q5+1</f>
        <v>28</v>
      </c>
      <c r="R6">
        <f>$R$4+$U$8*(Q6-$Q$4)</f>
        <v>67.489999999999995</v>
      </c>
      <c r="S6">
        <f>$S$4+$U$9*(Q6-$Q$4)</f>
        <v>73.55</v>
      </c>
      <c r="T6" s="11" t="s">
        <v>30</v>
      </c>
      <c r="U6" s="23">
        <f>0.6*U10</f>
        <v>869.85645933014359</v>
      </c>
      <c r="V6" s="11" t="s">
        <v>27</v>
      </c>
      <c r="W6" s="11"/>
      <c r="X6" s="25"/>
      <c r="Y6" s="5"/>
      <c r="Z6" s="5"/>
      <c r="AA6" s="5"/>
      <c r="AB6" s="5"/>
      <c r="AC6" s="5"/>
      <c r="AD6" s="5"/>
      <c r="AE6" s="15"/>
      <c r="AF6" s="10"/>
      <c r="AH6">
        <f t="shared" ref="AH6:AH31" si="0">AH5+1</f>
        <v>28</v>
      </c>
      <c r="AI6">
        <f t="shared" ref="AI6:AI28" si="1">$AI$4+$AL$8*(AH6-$AH$4)</f>
        <v>70.94</v>
      </c>
      <c r="AK6" s="12" t="s">
        <v>30</v>
      </c>
      <c r="AL6" s="12">
        <v>1200</v>
      </c>
      <c r="AM6" s="11" t="s">
        <v>27</v>
      </c>
    </row>
    <row r="7" spans="1:39" x14ac:dyDescent="0.3">
      <c r="A7" s="5" t="s">
        <v>31</v>
      </c>
      <c r="B7" s="13">
        <v>22.680741099999999</v>
      </c>
      <c r="D7" s="10"/>
      <c r="E7">
        <f>$B$4*E6+$B$5*E6^1.5+$B$6*E6^3+$B$7*E6^3.5+$B$8*E6^4+$B$9*E6^7.5</f>
        <v>-4.0354589512304431</v>
      </c>
      <c r="H7" s="8">
        <v>26</v>
      </c>
      <c r="I7">
        <f>1-(H7+273.15)/$B$2</f>
        <v>0.53770383374337039</v>
      </c>
      <c r="J7">
        <f>$B$4*I7+$B$5*I7^1.5+$B$6*I7^3+$B$7*I7^3.5+$B$8*I7^4+$B$9*I7^7.5</f>
        <v>-4.0629517323569964</v>
      </c>
      <c r="K7">
        <f>$B$3*EXP($B$2*J7/(273.15+H7))</f>
        <v>3.3637914878985029</v>
      </c>
      <c r="L7">
        <f>0.6219907*K7/($E$4-K7)</f>
        <v>2.1356823480145011E-2</v>
      </c>
      <c r="M7">
        <f>(1.01+1.89*L7)*H7+2500*L7</f>
        <v>80.701533006176845</v>
      </c>
      <c r="N7">
        <v>58.4</v>
      </c>
      <c r="O7">
        <f>(H8-H7)*(1/(M7-N7)+1/(M8-N8))/2</f>
        <v>4.4906545358495337E-2</v>
      </c>
      <c r="Q7">
        <f>Q6+1</f>
        <v>29</v>
      </c>
      <c r="R7">
        <f>$R$4+$U$8*(Q7-$Q$4)</f>
        <v>72.034999999999997</v>
      </c>
      <c r="S7">
        <f>$S$4+$U$9*(Q7-$Q$4)</f>
        <v>81.125</v>
      </c>
      <c r="T7" s="11" t="s">
        <v>32</v>
      </c>
      <c r="U7" s="12">
        <v>4.18</v>
      </c>
      <c r="V7" s="11" t="s">
        <v>33</v>
      </c>
      <c r="W7" s="11"/>
      <c r="X7" s="25"/>
      <c r="Y7" s="8">
        <f>$AL$3</f>
        <v>26</v>
      </c>
      <c r="Z7">
        <f>1-(Y7+273.15)/$B$2</f>
        <v>0.53770383374337039</v>
      </c>
      <c r="AA7">
        <f>$B$4*Z7+$B$5*Z7^1.5+$B$6*Z7^3+$B$7*Z7^3.5+$B$8*Z7^4+$B$9*Z7^7.5</f>
        <v>-4.0629517323569964</v>
      </c>
      <c r="AB7">
        <f>$B$3*EXP($B$2*AA7/(273.15+Y7))</f>
        <v>3.3637914878985029</v>
      </c>
      <c r="AC7">
        <f>0.6219907*AB7/($E$4-AB7)</f>
        <v>2.1356823480145011E-2</v>
      </c>
      <c r="AD7">
        <f>(1.01+1.89*AC7)*Y7+2500*AC7</f>
        <v>80.701533006176845</v>
      </c>
      <c r="AE7">
        <v>58.4</v>
      </c>
      <c r="AF7">
        <f>(Y8-Y7)*(1/(AD7-AE7)+1/(AD8-AE8))/2</f>
        <v>4.6797738406333209E-2</v>
      </c>
      <c r="AH7">
        <f t="shared" si="0"/>
        <v>29</v>
      </c>
      <c r="AI7">
        <f t="shared" si="1"/>
        <v>77.209999999999994</v>
      </c>
      <c r="AK7" s="12" t="s">
        <v>32</v>
      </c>
      <c r="AL7" s="12">
        <v>4.18</v>
      </c>
      <c r="AM7" s="11" t="s">
        <v>33</v>
      </c>
    </row>
    <row r="8" spans="1:39" x14ac:dyDescent="0.3">
      <c r="A8" s="5" t="s">
        <v>34</v>
      </c>
      <c r="B8" s="13">
        <v>-15.9618719</v>
      </c>
      <c r="D8" s="10" t="s">
        <v>45</v>
      </c>
      <c r="E8">
        <v>50</v>
      </c>
      <c r="H8">
        <f>H7+1</f>
        <v>27</v>
      </c>
      <c r="I8">
        <f>1-(H8+273.15)/$B$2</f>
        <v>0.53615846798620304</v>
      </c>
      <c r="J8">
        <f>$B$4*I8+$B$5*I8^1.5+$B$6*I8^3+$B$7*I8^3.5+$B$8*I8^4+$B$9*I8^7.5</f>
        <v>-4.0491930078473226</v>
      </c>
      <c r="K8">
        <f>$B$3*EXP($B$2*J8/(273.15+H8))</f>
        <v>3.5680246259588255</v>
      </c>
      <c r="L8">
        <f>0.6219907*K8/($E$4-K8)</f>
        <v>2.2700831547504255E-2</v>
      </c>
      <c r="M8">
        <f>(1.01+1.89*L8)*H8+2500*L8</f>
        <v>85.180502302629776</v>
      </c>
      <c r="N8">
        <v>62.945</v>
      </c>
      <c r="O8">
        <f t="shared" ref="O8:O28" si="2">(H9-H8)*(1/(M8-N8)+1/(M9-N9))/2</f>
        <v>4.4837786455609457E-2</v>
      </c>
      <c r="Q8">
        <f>Q7+1</f>
        <v>30</v>
      </c>
      <c r="R8">
        <f>$R$4+$U$8*(Q8-$Q$4)</f>
        <v>76.58</v>
      </c>
      <c r="S8">
        <f>$S$4+$U$9*(Q8-$Q$4)</f>
        <v>88.7</v>
      </c>
      <c r="T8" s="11" t="s">
        <v>35</v>
      </c>
      <c r="U8" s="12">
        <f>U6*U7/U5</f>
        <v>4.5449999999999999</v>
      </c>
      <c r="V8" s="12"/>
      <c r="W8" s="12"/>
      <c r="X8" s="24"/>
      <c r="Y8">
        <f>Y7+1</f>
        <v>27</v>
      </c>
      <c r="Z8">
        <f>1-(Y8+273.15)/$B$2</f>
        <v>0.53615846798620304</v>
      </c>
      <c r="AA8">
        <f>$B$4*Z8+$B$5*Z8^1.5+$B$6*Z8^3+$B$7*Z8^3.5+$B$8*Z8^4+$B$9*Z8^7.5</f>
        <v>-4.0491930078473226</v>
      </c>
      <c r="AB8">
        <f>$B$3*EXP($B$2*AA8/(273.15+Y8))</f>
        <v>3.5680246259588255</v>
      </c>
      <c r="AC8">
        <f>0.6219907*AB8/($E$4-AB8)</f>
        <v>2.2700831547504255E-2</v>
      </c>
      <c r="AD8">
        <f>(1.01+1.89*AC8)*Y8+2500*AC8</f>
        <v>85.180502302629776</v>
      </c>
      <c r="AE8">
        <v>64.67</v>
      </c>
      <c r="AF8">
        <f t="shared" ref="AF8:AF26" si="3">(Y9-Y8)*(1/(AD8-AE8)+1/(AD9-AE9))/2</f>
        <v>5.0804622096235152E-2</v>
      </c>
      <c r="AH8">
        <f t="shared" si="0"/>
        <v>30</v>
      </c>
      <c r="AI8">
        <f t="shared" si="1"/>
        <v>83.47999999999999</v>
      </c>
      <c r="AK8" s="12" t="s">
        <v>35</v>
      </c>
      <c r="AL8" s="12">
        <f>AL6*AL7/AL5</f>
        <v>6.27</v>
      </c>
      <c r="AM8" s="12"/>
    </row>
    <row r="9" spans="1:39" ht="15.6" x14ac:dyDescent="0.35">
      <c r="A9" s="5" t="s">
        <v>36</v>
      </c>
      <c r="B9" s="13">
        <v>1.80122502</v>
      </c>
      <c r="D9" s="10" t="s">
        <v>51</v>
      </c>
      <c r="E9" s="14">
        <f>($E$8/100)*$B$3*EXP($B$2*E7/(273.15+E5))</f>
        <v>1.8914880276674588</v>
      </c>
      <c r="F9" s="6" t="s">
        <v>18</v>
      </c>
      <c r="H9">
        <f t="shared" ref="H9:H41" si="4">H8+1</f>
        <v>28</v>
      </c>
      <c r="I9">
        <f t="shared" ref="I9:I41" si="5">1-(H9+273.15)/$B$2</f>
        <v>0.53461310222903569</v>
      </c>
      <c r="J9">
        <f t="shared" ref="J9:J41" si="6">$B$4*I9+$B$5*I9^1.5+$B$6*I9^3+$B$7*I9^3.5+$B$8*I9^4+$B$9*I9^7.5</f>
        <v>-4.0354589512304431</v>
      </c>
      <c r="K9">
        <f t="shared" ref="K9:K41" si="7">$B$3*EXP($B$2*J9/(273.15+H9))</f>
        <v>3.7829760553349177</v>
      </c>
      <c r="L9">
        <f t="shared" ref="L9:L41" si="8">0.6219907*K9/($E$4-K9)</f>
        <v>2.4121452706499406E-2</v>
      </c>
      <c r="M9">
        <f t="shared" ref="M9:M41" si="9">(1.01+1.89*L9)*H9+2500*L9</f>
        <v>89.860139043476465</v>
      </c>
      <c r="N9">
        <v>67.489999999999995</v>
      </c>
      <c r="O9">
        <f t="shared" si="2"/>
        <v>4.4361828895197949E-2</v>
      </c>
      <c r="Q9">
        <f>Q8+1</f>
        <v>31</v>
      </c>
      <c r="R9">
        <f>$R$4+$U$8*(Q9-$Q$4)</f>
        <v>81.125</v>
      </c>
      <c r="S9">
        <f>$S$4+$U$9*(Q9-$Q$4)</f>
        <v>96.275000000000006</v>
      </c>
      <c r="T9" s="11" t="s">
        <v>38</v>
      </c>
      <c r="U9" s="12">
        <v>7.5750000000000002</v>
      </c>
      <c r="V9" s="12"/>
      <c r="W9" s="12"/>
      <c r="X9" s="24"/>
      <c r="Y9">
        <f t="shared" ref="Y9:Y41" si="10">Y8+1</f>
        <v>28</v>
      </c>
      <c r="Z9">
        <f t="shared" ref="Z9:Z40" si="11">1-(Y9+273.15)/$B$2</f>
        <v>0.53461310222903569</v>
      </c>
      <c r="AA9">
        <f t="shared" ref="AA9:AA40" si="12">$B$4*Z9+$B$5*Z9^1.5+$B$6*Z9^3+$B$7*Z9^3.5+$B$8*Z9^4+$B$9*Z9^7.5</f>
        <v>-4.0354589512304431</v>
      </c>
      <c r="AB9">
        <f t="shared" ref="AB9:AB40" si="13">$B$3*EXP($B$2*AA9/(273.15+Y9))</f>
        <v>3.7829760553349177</v>
      </c>
      <c r="AC9">
        <f t="shared" ref="AC9:AC40" si="14">0.6219907*AB9/($E$4-AB9)</f>
        <v>2.4121452706499406E-2</v>
      </c>
      <c r="AD9">
        <f t="shared" ref="AD9:AD40" si="15">(1.01+1.89*AC9)*Y9+2500*AC9</f>
        <v>89.860139043476465</v>
      </c>
      <c r="AE9">
        <v>70.94</v>
      </c>
      <c r="AF9">
        <f t="shared" si="3"/>
        <v>5.493098838718509E-2</v>
      </c>
      <c r="AH9">
        <f t="shared" si="0"/>
        <v>31</v>
      </c>
      <c r="AI9">
        <f t="shared" si="1"/>
        <v>89.75</v>
      </c>
      <c r="AK9" s="12"/>
      <c r="AL9" s="12"/>
      <c r="AM9" s="12"/>
    </row>
    <row r="10" spans="1:39" x14ac:dyDescent="0.3">
      <c r="D10" s="10" t="s">
        <v>46</v>
      </c>
      <c r="E10">
        <f>0.62199*E9/($E$4-E9)</f>
        <v>1.1831297703411178E-2</v>
      </c>
      <c r="F10" s="6" t="s">
        <v>37</v>
      </c>
      <c r="H10">
        <f t="shared" si="4"/>
        <v>29</v>
      </c>
      <c r="I10">
        <f t="shared" si="5"/>
        <v>0.53306773647186823</v>
      </c>
      <c r="J10">
        <f t="shared" si="6"/>
        <v>-4.0217494490841856</v>
      </c>
      <c r="K10">
        <f t="shared" si="7"/>
        <v>4.0091133662106042</v>
      </c>
      <c r="L10">
        <f t="shared" si="8"/>
        <v>2.562277549332264E-2</v>
      </c>
      <c r="M10">
        <f t="shared" si="9"/>
        <v>94.751323058095608</v>
      </c>
      <c r="N10">
        <v>72.034999999999997</v>
      </c>
      <c r="O10">
        <f t="shared" si="2"/>
        <v>4.3483153561399659E-2</v>
      </c>
      <c r="Q10">
        <f>Q9+1</f>
        <v>32</v>
      </c>
      <c r="R10">
        <f>$R$4+$U$8*(Q10-$Q$4)</f>
        <v>85.67</v>
      </c>
      <c r="S10">
        <f>$S$4+$U$9*(Q10-$Q$4)</f>
        <v>103.85</v>
      </c>
      <c r="T10" s="11" t="s">
        <v>39</v>
      </c>
      <c r="U10" s="23">
        <f>U9*U5/U7</f>
        <v>1449.7607655502393</v>
      </c>
      <c r="V10" s="11" t="s">
        <v>27</v>
      </c>
      <c r="W10" s="11"/>
      <c r="X10" s="25"/>
      <c r="Y10">
        <f t="shared" si="10"/>
        <v>29</v>
      </c>
      <c r="Z10">
        <f t="shared" si="11"/>
        <v>0.53306773647186823</v>
      </c>
      <c r="AA10">
        <f t="shared" si="12"/>
        <v>-4.0217494490841856</v>
      </c>
      <c r="AB10">
        <f t="shared" si="13"/>
        <v>4.0091133662106042</v>
      </c>
      <c r="AC10">
        <f t="shared" si="14"/>
        <v>2.562277549332264E-2</v>
      </c>
      <c r="AD10">
        <f t="shared" si="15"/>
        <v>94.751323058095608</v>
      </c>
      <c r="AE10">
        <v>77.209999999999994</v>
      </c>
      <c r="AF10">
        <f t="shared" si="3"/>
        <v>5.901882276689762E-2</v>
      </c>
      <c r="AH10">
        <f t="shared" si="0"/>
        <v>32</v>
      </c>
      <c r="AI10">
        <f t="shared" si="1"/>
        <v>96.02</v>
      </c>
      <c r="AK10" s="12"/>
      <c r="AL10" s="12"/>
      <c r="AM10" s="12"/>
    </row>
    <row r="11" spans="1:39" x14ac:dyDescent="0.3">
      <c r="D11" s="10" t="s">
        <v>47</v>
      </c>
      <c r="E11">
        <f>(1.01+1.89*$E$10)*$E$5+2500*$E$10</f>
        <v>58.484356532992464</v>
      </c>
      <c r="F11" s="6" t="s">
        <v>48</v>
      </c>
      <c r="H11">
        <f t="shared" si="4"/>
        <v>30</v>
      </c>
      <c r="I11">
        <f t="shared" si="5"/>
        <v>0.53152237071470076</v>
      </c>
      <c r="J11">
        <f t="shared" si="6"/>
        <v>-4.0080643875971154</v>
      </c>
      <c r="K11">
        <f t="shared" si="7"/>
        <v>4.2469199271521392</v>
      </c>
      <c r="L11">
        <f t="shared" si="8"/>
        <v>2.7209115083196601E-2</v>
      </c>
      <c r="M11">
        <f t="shared" si="9"/>
        <v>99.865544533208748</v>
      </c>
      <c r="N11">
        <v>76.58</v>
      </c>
      <c r="O11">
        <f t="shared" si="2"/>
        <v>4.2228096235396889E-2</v>
      </c>
      <c r="Q11">
        <f>Q10+1</f>
        <v>33</v>
      </c>
      <c r="R11">
        <f>$R$4+$U$8*(Q11-$Q$4)</f>
        <v>90.215000000000003</v>
      </c>
      <c r="S11">
        <f>$S$4+$U$9*(Q11-$Q$4)</f>
        <v>111.425</v>
      </c>
      <c r="T11" s="11" t="s">
        <v>52</v>
      </c>
      <c r="U11" s="12">
        <f>U8/U9</f>
        <v>0.6</v>
      </c>
      <c r="V11" s="12"/>
      <c r="W11" s="12"/>
      <c r="X11" s="24"/>
      <c r="Y11">
        <f t="shared" si="10"/>
        <v>30</v>
      </c>
      <c r="Z11">
        <f t="shared" si="11"/>
        <v>0.53152237071470076</v>
      </c>
      <c r="AA11">
        <f t="shared" si="12"/>
        <v>-4.0080643875971154</v>
      </c>
      <c r="AB11">
        <f t="shared" si="13"/>
        <v>4.2469199271521392</v>
      </c>
      <c r="AC11">
        <f t="shared" si="14"/>
        <v>2.7209115083196601E-2</v>
      </c>
      <c r="AD11">
        <f t="shared" si="15"/>
        <v>99.865544533208748</v>
      </c>
      <c r="AE11">
        <v>83.47999999999999</v>
      </c>
      <c r="AF11">
        <f t="shared" si="3"/>
        <v>6.2845885330000878E-2</v>
      </c>
      <c r="AH11">
        <f t="shared" si="0"/>
        <v>33</v>
      </c>
      <c r="AI11">
        <f t="shared" si="1"/>
        <v>102.28999999999999</v>
      </c>
      <c r="AK11" s="12"/>
      <c r="AL11" s="12"/>
      <c r="AM11" s="12"/>
    </row>
    <row r="12" spans="1:39" x14ac:dyDescent="0.3">
      <c r="D12" s="20" t="s">
        <v>50</v>
      </c>
      <c r="E12">
        <f>1000*(L3-E10)/(H3-E5)</f>
        <v>-0.40891230252778848</v>
      </c>
      <c r="H12">
        <f t="shared" si="4"/>
        <v>31</v>
      </c>
      <c r="I12">
        <f t="shared" si="5"/>
        <v>0.52997700495753342</v>
      </c>
      <c r="J12">
        <f t="shared" si="6"/>
        <v>-3.9944036525806084</v>
      </c>
      <c r="K12">
        <f t="shared" si="7"/>
        <v>4.4968952297088691</v>
      </c>
      <c r="L12">
        <f t="shared" si="8"/>
        <v>2.888502871397574E-2</v>
      </c>
      <c r="M12">
        <f t="shared" si="9"/>
        <v>105.21494561729118</v>
      </c>
      <c r="N12">
        <v>81.125</v>
      </c>
      <c r="O12">
        <f t="shared" si="2"/>
        <v>4.0642299401244662E-2</v>
      </c>
      <c r="Q12">
        <f>Q11+1</f>
        <v>34</v>
      </c>
      <c r="R12">
        <f>$R$4+$U$8*(Q12-$Q$4)</f>
        <v>94.759999999999991</v>
      </c>
      <c r="S12">
        <f>$S$4+$U$9*(Q12-$Q$4)</f>
        <v>119</v>
      </c>
      <c r="T12" s="11" t="s">
        <v>40</v>
      </c>
      <c r="U12" s="12">
        <v>48</v>
      </c>
      <c r="V12" s="12"/>
      <c r="W12" s="12"/>
      <c r="X12" s="24"/>
      <c r="Y12">
        <f t="shared" si="10"/>
        <v>31</v>
      </c>
      <c r="Z12">
        <f t="shared" si="11"/>
        <v>0.52997700495753342</v>
      </c>
      <c r="AA12">
        <f t="shared" si="12"/>
        <v>-3.9944036525806084</v>
      </c>
      <c r="AB12">
        <f t="shared" si="13"/>
        <v>4.4968952297088691</v>
      </c>
      <c r="AC12">
        <f t="shared" si="14"/>
        <v>2.888502871397574E-2</v>
      </c>
      <c r="AD12">
        <f t="shared" si="15"/>
        <v>105.21494561729118</v>
      </c>
      <c r="AE12">
        <v>89.75</v>
      </c>
      <c r="AF12">
        <f t="shared" si="3"/>
        <v>6.6132403340525781E-2</v>
      </c>
      <c r="AH12">
        <f t="shared" si="0"/>
        <v>34</v>
      </c>
      <c r="AI12">
        <f t="shared" si="1"/>
        <v>108.56</v>
      </c>
      <c r="AK12" s="12" t="s">
        <v>40</v>
      </c>
      <c r="AL12" s="12">
        <v>50</v>
      </c>
      <c r="AM12" s="12"/>
    </row>
    <row r="13" spans="1:39" x14ac:dyDescent="0.3">
      <c r="H13">
        <f t="shared" si="4"/>
        <v>32</v>
      </c>
      <c r="I13">
        <f t="shared" si="5"/>
        <v>0.52843163920036595</v>
      </c>
      <c r="J13">
        <f t="shared" si="6"/>
        <v>-3.9807671294807978</v>
      </c>
      <c r="K13">
        <f t="shared" si="7"/>
        <v>4.7595552344181264</v>
      </c>
      <c r="L13">
        <f t="shared" si="8"/>
        <v>3.0655332479109527E-2</v>
      </c>
      <c r="M13">
        <f t="shared" si="9"/>
        <v>110.81236570611037</v>
      </c>
      <c r="N13">
        <v>85.67</v>
      </c>
      <c r="O13">
        <f t="shared" si="2"/>
        <v>3.8785777672856486E-2</v>
      </c>
      <c r="Q13">
        <f>Q12+1</f>
        <v>35</v>
      </c>
      <c r="R13">
        <f>$R$4+$U$8*(Q13-$Q$4)</f>
        <v>99.305000000000007</v>
      </c>
      <c r="S13">
        <f>$S$4+$U$9*(Q13-$Q$4)</f>
        <v>126.57499999999999</v>
      </c>
      <c r="T13" s="11" t="s">
        <v>41</v>
      </c>
      <c r="U13" s="12">
        <f>$U$4+$U$8*(U12-$U$3)</f>
        <v>158.38999999999999</v>
      </c>
      <c r="V13" s="12"/>
      <c r="W13" s="12"/>
      <c r="X13" s="24"/>
      <c r="Y13">
        <f t="shared" si="10"/>
        <v>32</v>
      </c>
      <c r="Z13">
        <f t="shared" si="11"/>
        <v>0.52843163920036595</v>
      </c>
      <c r="AA13">
        <f t="shared" si="12"/>
        <v>-3.9807671294807978</v>
      </c>
      <c r="AB13">
        <f t="shared" si="13"/>
        <v>4.7595552344181264</v>
      </c>
      <c r="AC13">
        <f t="shared" si="14"/>
        <v>3.0655332479109527E-2</v>
      </c>
      <c r="AD13">
        <f t="shared" si="15"/>
        <v>110.81236570611037</v>
      </c>
      <c r="AE13">
        <v>96.02</v>
      </c>
      <c r="AF13">
        <f t="shared" si="3"/>
        <v>6.8568371493580263E-2</v>
      </c>
      <c r="AH13">
        <f t="shared" si="0"/>
        <v>35</v>
      </c>
      <c r="AI13">
        <f t="shared" si="1"/>
        <v>114.82999999999998</v>
      </c>
      <c r="AK13" s="12" t="s">
        <v>41</v>
      </c>
      <c r="AL13" s="12">
        <f>$U$4+$U$8*(AL12-$U$3)</f>
        <v>167.48</v>
      </c>
      <c r="AM13" s="12"/>
    </row>
    <row r="14" spans="1:39" x14ac:dyDescent="0.3">
      <c r="H14">
        <f t="shared" si="4"/>
        <v>33</v>
      </c>
      <c r="I14">
        <f t="shared" si="5"/>
        <v>0.52688627344319849</v>
      </c>
      <c r="J14">
        <f t="shared" si="6"/>
        <v>-3.9671547033904448</v>
      </c>
      <c r="K14">
        <f t="shared" si="7"/>
        <v>5.0354327180543761</v>
      </c>
      <c r="L14">
        <f t="shared" si="8"/>
        <v>3.2525119635620041E-2</v>
      </c>
      <c r="M14">
        <f t="shared" si="9"/>
        <v>116.67139080072373</v>
      </c>
      <c r="N14">
        <v>90.215000000000003</v>
      </c>
      <c r="O14">
        <f t="shared" si="2"/>
        <v>3.6726620622625453E-2</v>
      </c>
      <c r="Q14">
        <f>Q13+1</f>
        <v>36</v>
      </c>
      <c r="R14">
        <f>$R$4+$U$8*(Q14-$Q$4)</f>
        <v>103.85</v>
      </c>
      <c r="S14">
        <f>$S$4+$U$9*(Q14-$Q$4)</f>
        <v>134.15</v>
      </c>
      <c r="T14" s="12"/>
      <c r="U14" s="12"/>
      <c r="V14" s="12"/>
      <c r="W14" s="12"/>
      <c r="X14" s="24"/>
      <c r="Y14">
        <f t="shared" si="10"/>
        <v>33</v>
      </c>
      <c r="Z14">
        <f t="shared" si="11"/>
        <v>0.52688627344319849</v>
      </c>
      <c r="AA14">
        <f t="shared" si="12"/>
        <v>-3.9671547033904448</v>
      </c>
      <c r="AB14">
        <f t="shared" si="13"/>
        <v>5.0354327180543761</v>
      </c>
      <c r="AC14">
        <f t="shared" si="14"/>
        <v>3.2525119635620041E-2</v>
      </c>
      <c r="AD14">
        <f t="shared" si="15"/>
        <v>116.67139080072373</v>
      </c>
      <c r="AE14">
        <v>102.28999999999999</v>
      </c>
      <c r="AF14">
        <f t="shared" si="3"/>
        <v>6.9863719635523791E-2</v>
      </c>
      <c r="AH14">
        <f t="shared" si="0"/>
        <v>36</v>
      </c>
      <c r="AI14">
        <f t="shared" si="1"/>
        <v>121.1</v>
      </c>
      <c r="AK14" s="12"/>
      <c r="AL14" s="12"/>
      <c r="AM14" s="12"/>
    </row>
    <row r="15" spans="1:39" x14ac:dyDescent="0.3">
      <c r="H15">
        <f t="shared" si="4"/>
        <v>34</v>
      </c>
      <c r="I15">
        <f t="shared" si="5"/>
        <v>0.52534090768603114</v>
      </c>
      <c r="J15">
        <f t="shared" si="6"/>
        <v>-3.9535662590606737</v>
      </c>
      <c r="K15">
        <f t="shared" si="7"/>
        <v>5.3250776219626523</v>
      </c>
      <c r="L15">
        <f t="shared" si="8"/>
        <v>3.4499780590381397E-2</v>
      </c>
      <c r="M15">
        <f t="shared" si="9"/>
        <v>122.8064073766914</v>
      </c>
      <c r="N15">
        <v>94.759999999999991</v>
      </c>
      <c r="O15">
        <f t="shared" si="2"/>
        <v>3.4534547285005698E-2</v>
      </c>
      <c r="Q15">
        <f>Q14+1</f>
        <v>37</v>
      </c>
      <c r="R15">
        <f>$R$4+$U$8*(Q15-$Q$4)</f>
        <v>108.395</v>
      </c>
      <c r="S15">
        <f>$S$4+$U$9*(Q15-$Q$4)</f>
        <v>141.72499999999999</v>
      </c>
      <c r="T15" s="16" t="s">
        <v>42</v>
      </c>
      <c r="U15" s="16">
        <f>O5*(U6/U5)^0.8</f>
        <v>2.8580082963171201</v>
      </c>
      <c r="V15" s="12"/>
      <c r="W15" s="12"/>
      <c r="X15" s="24"/>
      <c r="Y15">
        <f t="shared" si="10"/>
        <v>34</v>
      </c>
      <c r="Z15">
        <f t="shared" si="11"/>
        <v>0.52534090768603114</v>
      </c>
      <c r="AA15">
        <f t="shared" si="12"/>
        <v>-3.9535662590606737</v>
      </c>
      <c r="AB15">
        <f t="shared" si="13"/>
        <v>5.3250776219626523</v>
      </c>
      <c r="AC15">
        <f t="shared" si="14"/>
        <v>3.4499780590381397E-2</v>
      </c>
      <c r="AD15">
        <f t="shared" si="15"/>
        <v>122.8064073766914</v>
      </c>
      <c r="AE15">
        <v>108.56</v>
      </c>
      <c r="AF15">
        <f t="shared" si="3"/>
        <v>6.9812374041842221E-2</v>
      </c>
      <c r="AH15">
        <f t="shared" si="0"/>
        <v>37</v>
      </c>
      <c r="AI15">
        <f t="shared" si="1"/>
        <v>127.37</v>
      </c>
      <c r="AK15" s="16" t="s">
        <v>43</v>
      </c>
      <c r="AL15" s="16">
        <f>$U$15*(AL5/AL6)^0.8</f>
        <v>2.0662862128031625</v>
      </c>
      <c r="AM15" s="12"/>
    </row>
    <row r="16" spans="1:39" x14ac:dyDescent="0.3">
      <c r="H16">
        <f t="shared" si="4"/>
        <v>35</v>
      </c>
      <c r="I16">
        <f t="shared" si="5"/>
        <v>0.52379554192886379</v>
      </c>
      <c r="J16">
        <f t="shared" si="6"/>
        <v>-3.9400016809126028</v>
      </c>
      <c r="K16">
        <f t="shared" si="7"/>
        <v>5.6290574013142036</v>
      </c>
      <c r="L16">
        <f t="shared" si="8"/>
        <v>3.6585024748039235E-2</v>
      </c>
      <c r="M16">
        <f t="shared" si="9"/>
        <v>129.23266125718089</v>
      </c>
      <c r="N16">
        <v>99.305000000000007</v>
      </c>
      <c r="O16">
        <f t="shared" si="2"/>
        <v>3.227535983977918E-2</v>
      </c>
      <c r="Q16">
        <f>Q15+1</f>
        <v>38</v>
      </c>
      <c r="R16">
        <f>$R$4+$U$8*(Q16-$Q$4)</f>
        <v>112.94</v>
      </c>
      <c r="S16">
        <f>$S$4+$U$9*(Q16-$Q$4)</f>
        <v>149.30000000000001</v>
      </c>
      <c r="Y16">
        <f t="shared" si="10"/>
        <v>35</v>
      </c>
      <c r="Z16">
        <f t="shared" si="11"/>
        <v>0.52379554192886379</v>
      </c>
      <c r="AA16">
        <f t="shared" si="12"/>
        <v>-3.9400016809126028</v>
      </c>
      <c r="AB16">
        <f t="shared" si="13"/>
        <v>5.6290574013142036</v>
      </c>
      <c r="AC16">
        <f t="shared" si="14"/>
        <v>3.6585024748039235E-2</v>
      </c>
      <c r="AD16">
        <f t="shared" si="15"/>
        <v>129.23266125718089</v>
      </c>
      <c r="AE16">
        <v>114.82999999999998</v>
      </c>
      <c r="AF16">
        <f t="shared" si="3"/>
        <v>6.834887305030693E-2</v>
      </c>
      <c r="AH16">
        <f t="shared" si="0"/>
        <v>38</v>
      </c>
      <c r="AI16">
        <f t="shared" si="1"/>
        <v>133.63999999999999</v>
      </c>
    </row>
    <row r="17" spans="8:38" x14ac:dyDescent="0.3">
      <c r="H17">
        <f t="shared" si="4"/>
        <v>36</v>
      </c>
      <c r="I17">
        <f t="shared" si="5"/>
        <v>0.52225017617169633</v>
      </c>
      <c r="J17">
        <f t="shared" si="6"/>
        <v>-3.9264608530488685</v>
      </c>
      <c r="K17">
        <f t="shared" si="7"/>
        <v>5.9479573751218968</v>
      </c>
      <c r="L17">
        <f t="shared" si="8"/>
        <v>3.8786904426780296E-2</v>
      </c>
      <c r="M17">
        <f t="shared" si="9"/>
        <v>135.96632204414885</v>
      </c>
      <c r="N17">
        <v>103.85</v>
      </c>
      <c r="O17">
        <f t="shared" si="2"/>
        <v>3.0006942161647621E-2</v>
      </c>
      <c r="Q17">
        <f>Q16+1</f>
        <v>39</v>
      </c>
      <c r="R17">
        <f>$R$4+$U$8*(Q17-$Q$4)</f>
        <v>117.485</v>
      </c>
      <c r="S17">
        <f>$S$4+$U$9*(Q17-$Q$4)</f>
        <v>156.875</v>
      </c>
      <c r="Y17">
        <f t="shared" si="10"/>
        <v>36</v>
      </c>
      <c r="Z17">
        <f t="shared" si="11"/>
        <v>0.52225017617169633</v>
      </c>
      <c r="AA17">
        <f t="shared" si="12"/>
        <v>-3.9264608530488685</v>
      </c>
      <c r="AB17">
        <f t="shared" si="13"/>
        <v>5.9479573751218968</v>
      </c>
      <c r="AC17">
        <f t="shared" si="14"/>
        <v>3.8786904426780296E-2</v>
      </c>
      <c r="AD17">
        <f t="shared" si="15"/>
        <v>135.96632204414885</v>
      </c>
      <c r="AE17">
        <v>121.1</v>
      </c>
      <c r="AF17">
        <f t="shared" si="3"/>
        <v>6.5572654861792062E-2</v>
      </c>
      <c r="AH17">
        <f t="shared" si="0"/>
        <v>39</v>
      </c>
      <c r="AI17">
        <f t="shared" si="1"/>
        <v>139.91</v>
      </c>
    </row>
    <row r="18" spans="8:38" x14ac:dyDescent="0.3">
      <c r="H18">
        <f t="shared" si="4"/>
        <v>37</v>
      </c>
      <c r="I18">
        <f t="shared" si="5"/>
        <v>0.52070481041452887</v>
      </c>
      <c r="J18">
        <f t="shared" si="6"/>
        <v>-3.9129436592650526</v>
      </c>
      <c r="K18">
        <f t="shared" si="7"/>
        <v>6.2823810768518031</v>
      </c>
      <c r="L18">
        <f t="shared" si="8"/>
        <v>4.111184107428642E-2</v>
      </c>
      <c r="M18">
        <f t="shared" si="9"/>
        <v>143.02455373204091</v>
      </c>
      <c r="N18">
        <v>108.395</v>
      </c>
      <c r="O18">
        <f t="shared" si="2"/>
        <v>2.7776992391126392E-2</v>
      </c>
      <c r="Q18">
        <f>Q17+1</f>
        <v>40</v>
      </c>
      <c r="R18">
        <f>$R$4+$U$8*(Q18-$Q$4)</f>
        <v>122.03</v>
      </c>
      <c r="S18">
        <f>$S$4+$U$9*(Q18-$Q$4)</f>
        <v>164.45</v>
      </c>
      <c r="Y18">
        <f t="shared" si="10"/>
        <v>37</v>
      </c>
      <c r="Z18">
        <f t="shared" si="11"/>
        <v>0.52070481041452887</v>
      </c>
      <c r="AA18">
        <f t="shared" si="12"/>
        <v>-3.9129436592650526</v>
      </c>
      <c r="AB18">
        <f t="shared" si="13"/>
        <v>6.2823810768518031</v>
      </c>
      <c r="AC18">
        <f t="shared" si="14"/>
        <v>4.111184107428642E-2</v>
      </c>
      <c r="AD18">
        <f t="shared" si="15"/>
        <v>143.02455373204091</v>
      </c>
      <c r="AE18">
        <v>127.37</v>
      </c>
      <c r="AF18">
        <f t="shared" si="3"/>
        <v>6.1727038898547811E-2</v>
      </c>
      <c r="AH18">
        <f t="shared" si="0"/>
        <v>40</v>
      </c>
      <c r="AI18">
        <f t="shared" si="1"/>
        <v>146.18</v>
      </c>
      <c r="AK18" s="17" t="s">
        <v>53</v>
      </c>
      <c r="AL18" s="17" t="s">
        <v>44</v>
      </c>
    </row>
    <row r="19" spans="8:38" x14ac:dyDescent="0.3">
      <c r="H19">
        <f t="shared" si="4"/>
        <v>38</v>
      </c>
      <c r="I19">
        <f t="shared" si="5"/>
        <v>0.51915944465736152</v>
      </c>
      <c r="J19">
        <f t="shared" si="6"/>
        <v>-3.8994499830609808</v>
      </c>
      <c r="K19">
        <f t="shared" si="7"/>
        <v>6.6329506054678626</v>
      </c>
      <c r="L19">
        <f t="shared" si="8"/>
        <v>4.3566654046124871E-2</v>
      </c>
      <c r="M19">
        <f t="shared" si="9"/>
        <v>150.42559220890487</v>
      </c>
      <c r="N19">
        <v>112.94</v>
      </c>
      <c r="O19">
        <f t="shared" si="2"/>
        <v>2.5622314273947379E-2</v>
      </c>
      <c r="Q19">
        <f>Q18+1</f>
        <v>41</v>
      </c>
      <c r="R19">
        <f>$R$4+$U$8*(Q19-$Q$4)</f>
        <v>126.57499999999999</v>
      </c>
      <c r="S19">
        <f>$S$4+$U$9*(Q19-$Q$4)</f>
        <v>172.02500000000001</v>
      </c>
      <c r="Y19">
        <f t="shared" si="10"/>
        <v>38</v>
      </c>
      <c r="Z19">
        <f t="shared" si="11"/>
        <v>0.51915944465736152</v>
      </c>
      <c r="AA19">
        <f t="shared" si="12"/>
        <v>-3.8994499830609808</v>
      </c>
      <c r="AB19">
        <f t="shared" si="13"/>
        <v>6.6329506054678626</v>
      </c>
      <c r="AC19">
        <f t="shared" si="14"/>
        <v>4.3566654046124871E-2</v>
      </c>
      <c r="AD19">
        <f t="shared" si="15"/>
        <v>150.42559220890487</v>
      </c>
      <c r="AE19">
        <v>133.63999999999999</v>
      </c>
      <c r="AF19">
        <f t="shared" si="3"/>
        <v>5.7141498386824821E-2</v>
      </c>
      <c r="AH19">
        <f t="shared" si="0"/>
        <v>41</v>
      </c>
      <c r="AI19">
        <f t="shared" si="1"/>
        <v>152.44999999999999</v>
      </c>
      <c r="AK19" s="18">
        <v>26</v>
      </c>
      <c r="AL19" s="19">
        <v>4.7961999999999998</v>
      </c>
    </row>
    <row r="20" spans="8:38" x14ac:dyDescent="0.3">
      <c r="H20">
        <f t="shared" si="4"/>
        <v>39</v>
      </c>
      <c r="I20">
        <f t="shared" si="5"/>
        <v>0.51761407890019417</v>
      </c>
      <c r="J20">
        <f t="shared" si="6"/>
        <v>-3.8859797076519169</v>
      </c>
      <c r="K20">
        <f t="shared" si="7"/>
        <v>7.0003069767449482</v>
      </c>
      <c r="L20">
        <f t="shared" si="8"/>
        <v>4.6158592243134448E-2</v>
      </c>
      <c r="M20">
        <f t="shared" si="9"/>
        <v>158.18883044207757</v>
      </c>
      <c r="N20">
        <v>117.485</v>
      </c>
      <c r="O20">
        <f t="shared" si="2"/>
        <v>2.3569286520342035E-2</v>
      </c>
      <c r="Q20">
        <f>Q19+1</f>
        <v>42</v>
      </c>
      <c r="R20">
        <f>$R$4+$U$8*(Q20-$Q$4)</f>
        <v>131.12</v>
      </c>
      <c r="S20">
        <f>$S$4+$U$9*(Q20-$Q$4)</f>
        <v>179.6</v>
      </c>
      <c r="Y20">
        <f t="shared" si="10"/>
        <v>39</v>
      </c>
      <c r="Z20">
        <f t="shared" si="11"/>
        <v>0.51761407890019417</v>
      </c>
      <c r="AA20">
        <f t="shared" si="12"/>
        <v>-3.8859797076519169</v>
      </c>
      <c r="AB20">
        <f t="shared" si="13"/>
        <v>7.0003069767449482</v>
      </c>
      <c r="AC20">
        <f t="shared" si="14"/>
        <v>4.6158592243134448E-2</v>
      </c>
      <c r="AD20">
        <f t="shared" si="15"/>
        <v>158.18883044207757</v>
      </c>
      <c r="AE20">
        <v>139.91</v>
      </c>
      <c r="AF20">
        <f t="shared" si="3"/>
        <v>5.2161895730382615E-2</v>
      </c>
      <c r="AH20">
        <f>AH19+1</f>
        <v>42</v>
      </c>
      <c r="AI20">
        <f t="shared" si="1"/>
        <v>158.72</v>
      </c>
      <c r="AK20" s="18">
        <v>27</v>
      </c>
      <c r="AL20" s="19">
        <v>3.4430999999999998</v>
      </c>
    </row>
    <row r="21" spans="8:38" x14ac:dyDescent="0.3">
      <c r="H21">
        <f t="shared" si="4"/>
        <v>40</v>
      </c>
      <c r="I21">
        <f t="shared" si="5"/>
        <v>0.51606871314302671</v>
      </c>
      <c r="J21">
        <f t="shared" si="6"/>
        <v>-3.8725327159796712</v>
      </c>
      <c r="K21">
        <f t="shared" si="7"/>
        <v>7.3851104746860816</v>
      </c>
      <c r="L21">
        <f t="shared" si="8"/>
        <v>4.8895368943827386E-2</v>
      </c>
      <c r="M21">
        <f t="shared" si="9"/>
        <v>166.33491225172182</v>
      </c>
      <c r="N21">
        <v>122.03</v>
      </c>
      <c r="O21">
        <f t="shared" si="2"/>
        <v>2.163507533696566E-2</v>
      </c>
      <c r="Q21">
        <f>Q20+1</f>
        <v>43</v>
      </c>
      <c r="R21">
        <f>$R$4+$U$8*(Q21-$Q$4)</f>
        <v>135.66499999999999</v>
      </c>
      <c r="S21">
        <f>$S$4+$U$9*(Q21-$Q$4)</f>
        <v>187.17500000000001</v>
      </c>
      <c r="Y21">
        <f t="shared" si="10"/>
        <v>40</v>
      </c>
      <c r="Z21">
        <f t="shared" si="11"/>
        <v>0.51606871314302671</v>
      </c>
      <c r="AA21">
        <f t="shared" si="12"/>
        <v>-3.8725327159796712</v>
      </c>
      <c r="AB21">
        <f t="shared" si="13"/>
        <v>7.3851104746860816</v>
      </c>
      <c r="AC21">
        <f t="shared" si="14"/>
        <v>4.8895368943827386E-2</v>
      </c>
      <c r="AD21">
        <f t="shared" si="15"/>
        <v>166.33491225172182</v>
      </c>
      <c r="AE21">
        <v>146.18</v>
      </c>
      <c r="AF21">
        <f t="shared" si="3"/>
        <v>4.7093623630880641E-2</v>
      </c>
      <c r="AH21">
        <f t="shared" si="0"/>
        <v>43</v>
      </c>
      <c r="AI21">
        <f t="shared" si="1"/>
        <v>164.98999999999998</v>
      </c>
      <c r="AK21" s="18">
        <v>28</v>
      </c>
      <c r="AL21" s="19">
        <v>2.6381999999999999</v>
      </c>
    </row>
    <row r="22" spans="8:38" x14ac:dyDescent="0.3">
      <c r="H22">
        <f t="shared" si="4"/>
        <v>41</v>
      </c>
      <c r="I22">
        <f t="shared" si="5"/>
        <v>0.51452334738585925</v>
      </c>
      <c r="J22">
        <f t="shared" si="6"/>
        <v>-3.8591088907235793</v>
      </c>
      <c r="K22">
        <f t="shared" si="7"/>
        <v>7.7880410028799236</v>
      </c>
      <c r="L22">
        <f t="shared" si="8"/>
        <v>5.1785200213298112E-2</v>
      </c>
      <c r="M22">
        <f t="shared" si="9"/>
        <v>174.88583569777376</v>
      </c>
      <c r="N22">
        <v>126.57499999999999</v>
      </c>
      <c r="O22">
        <f t="shared" si="2"/>
        <v>1.9829204455535644E-2</v>
      </c>
      <c r="Q22">
        <f>Q21+1</f>
        <v>44</v>
      </c>
      <c r="R22">
        <f>$R$4+$U$8*(Q22-$Q$4)</f>
        <v>140.21</v>
      </c>
      <c r="S22">
        <f>$S$4+$U$9*(Q22-$Q$4)</f>
        <v>194.75</v>
      </c>
      <c r="Y22">
        <f t="shared" si="10"/>
        <v>41</v>
      </c>
      <c r="Z22">
        <f t="shared" si="11"/>
        <v>0.51452334738585925</v>
      </c>
      <c r="AA22">
        <f t="shared" si="12"/>
        <v>-3.8591088907235793</v>
      </c>
      <c r="AB22">
        <f t="shared" si="13"/>
        <v>7.7880410028799236</v>
      </c>
      <c r="AC22">
        <f t="shared" si="14"/>
        <v>5.1785200213298112E-2</v>
      </c>
      <c r="AD22">
        <f t="shared" si="15"/>
        <v>174.88583569777376</v>
      </c>
      <c r="AE22">
        <v>152.44999999999999</v>
      </c>
      <c r="AF22">
        <f t="shared" si="3"/>
        <v>4.2170391352138639E-2</v>
      </c>
      <c r="AH22">
        <f t="shared" si="0"/>
        <v>44</v>
      </c>
      <c r="AI22">
        <f t="shared" si="1"/>
        <v>171.26</v>
      </c>
      <c r="AK22" s="18">
        <v>29</v>
      </c>
      <c r="AL22" s="19">
        <v>2.0998000000000001</v>
      </c>
    </row>
    <row r="23" spans="8:38" x14ac:dyDescent="0.3">
      <c r="H23">
        <f t="shared" si="4"/>
        <v>42</v>
      </c>
      <c r="I23">
        <f t="shared" si="5"/>
        <v>0.5129779816286919</v>
      </c>
      <c r="J23">
        <f t="shared" si="6"/>
        <v>-3.8457081143113752</v>
      </c>
      <c r="K23">
        <f t="shared" si="7"/>
        <v>8.2097984356344842</v>
      </c>
      <c r="L23">
        <f t="shared" si="8"/>
        <v>5.4836847322646688E-2</v>
      </c>
      <c r="M23">
        <f t="shared" si="9"/>
        <v>183.8650672470884</v>
      </c>
      <c r="N23">
        <v>131.12</v>
      </c>
      <c r="O23">
        <f t="shared" si="2"/>
        <v>1.8155194574723636E-2</v>
      </c>
      <c r="Q23">
        <f>Q22+1</f>
        <v>45</v>
      </c>
      <c r="R23">
        <f>$R$4+$U$8*(Q23-$Q$4)</f>
        <v>144.755</v>
      </c>
      <c r="S23">
        <f>$S$4+$U$9*(Q23-$Q$4)</f>
        <v>202.32500000000002</v>
      </c>
      <c r="Y23">
        <f t="shared" si="10"/>
        <v>42</v>
      </c>
      <c r="Z23">
        <f t="shared" si="11"/>
        <v>0.5129779816286919</v>
      </c>
      <c r="AA23">
        <f t="shared" si="12"/>
        <v>-3.8457081143113752</v>
      </c>
      <c r="AB23">
        <f t="shared" si="13"/>
        <v>8.2097984356344842</v>
      </c>
      <c r="AC23">
        <f t="shared" si="14"/>
        <v>5.4836847322646688E-2</v>
      </c>
      <c r="AD23">
        <f t="shared" si="15"/>
        <v>183.8650672470884</v>
      </c>
      <c r="AE23">
        <v>158.72</v>
      </c>
      <c r="AF23">
        <f t="shared" si="3"/>
        <v>3.7547674354975941E-2</v>
      </c>
      <c r="AH23">
        <f t="shared" si="0"/>
        <v>45</v>
      </c>
      <c r="AI23">
        <f t="shared" si="1"/>
        <v>177.53</v>
      </c>
      <c r="AK23" s="18">
        <v>30</v>
      </c>
      <c r="AL23" s="19">
        <v>1.7433000000000001</v>
      </c>
    </row>
    <row r="24" spans="8:38" x14ac:dyDescent="0.3">
      <c r="H24">
        <f t="shared" si="4"/>
        <v>43</v>
      </c>
      <c r="I24">
        <f t="shared" si="5"/>
        <v>0.51143261587152455</v>
      </c>
      <c r="J24">
        <f t="shared" si="6"/>
        <v>-3.8323302689299759</v>
      </c>
      <c r="K24">
        <f t="shared" si="7"/>
        <v>8.6511029687229826</v>
      </c>
      <c r="L24">
        <f t="shared" si="8"/>
        <v>5.8059663673728799E-2</v>
      </c>
      <c r="M24">
        <f t="shared" si="9"/>
        <v>193.29766805108594</v>
      </c>
      <c r="N24">
        <v>135.66499999999999</v>
      </c>
      <c r="O24">
        <f t="shared" si="2"/>
        <v>1.6612088418847409E-2</v>
      </c>
      <c r="Q24">
        <f>Q23+1</f>
        <v>46</v>
      </c>
      <c r="R24">
        <f>$R$4+$U$8*(Q24-$Q$4)</f>
        <v>149.30000000000001</v>
      </c>
      <c r="S24">
        <f>$S$4+$U$9*(Q24-$Q$4)</f>
        <v>209.9</v>
      </c>
      <c r="Y24">
        <f t="shared" si="10"/>
        <v>43</v>
      </c>
      <c r="Z24">
        <f t="shared" si="11"/>
        <v>0.51143261587152455</v>
      </c>
      <c r="AA24">
        <f t="shared" si="12"/>
        <v>-3.8323302689299759</v>
      </c>
      <c r="AB24">
        <f t="shared" si="13"/>
        <v>8.6511029687229826</v>
      </c>
      <c r="AC24">
        <f t="shared" si="14"/>
        <v>5.8059663673728799E-2</v>
      </c>
      <c r="AD24">
        <f t="shared" si="15"/>
        <v>193.29766805108594</v>
      </c>
      <c r="AE24">
        <v>164.98999999999998</v>
      </c>
      <c r="AF24">
        <f t="shared" si="3"/>
        <v>3.3312298379287772E-2</v>
      </c>
      <c r="AH24">
        <f t="shared" si="0"/>
        <v>46</v>
      </c>
      <c r="AI24">
        <f t="shared" si="1"/>
        <v>183.79999999999998</v>
      </c>
      <c r="AK24" s="18"/>
      <c r="AL24" s="19"/>
    </row>
    <row r="25" spans="8:38" x14ac:dyDescent="0.3">
      <c r="H25">
        <f t="shared" si="4"/>
        <v>44</v>
      </c>
      <c r="I25">
        <f t="shared" si="5"/>
        <v>0.50988725011435709</v>
      </c>
      <c r="J25">
        <f t="shared" si="6"/>
        <v>-3.8189752365361396</v>
      </c>
      <c r="K25">
        <f t="shared" si="7"/>
        <v>9.1126954695795241</v>
      </c>
      <c r="L25">
        <f t="shared" si="8"/>
        <v>6.1463646794630004E-2</v>
      </c>
      <c r="M25">
        <f t="shared" si="9"/>
        <v>203.21043385401646</v>
      </c>
      <c r="N25">
        <v>140.21</v>
      </c>
      <c r="O25">
        <f t="shared" si="2"/>
        <v>1.5195765316836279E-2</v>
      </c>
      <c r="Q25">
        <f>Q24+1</f>
        <v>47</v>
      </c>
      <c r="R25">
        <f>$R$4+$U$8*(Q25-$Q$4)</f>
        <v>153.845</v>
      </c>
      <c r="S25">
        <f>$S$4+$U$9*(Q25-$Q$4)</f>
        <v>217.47500000000002</v>
      </c>
      <c r="Y25">
        <f t="shared" si="10"/>
        <v>44</v>
      </c>
      <c r="Z25">
        <f t="shared" si="11"/>
        <v>0.50988725011435709</v>
      </c>
      <c r="AA25">
        <f t="shared" si="12"/>
        <v>-3.8189752365361396</v>
      </c>
      <c r="AB25">
        <f t="shared" si="13"/>
        <v>9.1126954695795241</v>
      </c>
      <c r="AC25">
        <f t="shared" si="14"/>
        <v>6.1463646794630004E-2</v>
      </c>
      <c r="AD25">
        <f t="shared" si="15"/>
        <v>203.21043385401646</v>
      </c>
      <c r="AE25">
        <v>171.26</v>
      </c>
      <c r="AF25">
        <f t="shared" si="3"/>
        <v>2.9498868698750888E-2</v>
      </c>
      <c r="AH25">
        <f t="shared" si="0"/>
        <v>47</v>
      </c>
      <c r="AI25">
        <f>$AI$4+$AL$8*(AH25-$AH$4)</f>
        <v>190.07</v>
      </c>
      <c r="AK25" s="18">
        <v>29.1</v>
      </c>
      <c r="AL25" s="19">
        <v>2.0556999999999999</v>
      </c>
    </row>
    <row r="26" spans="8:38" x14ac:dyDescent="0.3">
      <c r="H26">
        <f t="shared" si="4"/>
        <v>45</v>
      </c>
      <c r="I26">
        <f t="shared" si="5"/>
        <v>0.50834188435718963</v>
      </c>
      <c r="J26">
        <f t="shared" si="6"/>
        <v>-3.8056428988670286</v>
      </c>
      <c r="K26">
        <f t="shared" si="7"/>
        <v>9.5953378267816944</v>
      </c>
      <c r="L26">
        <f t="shared" si="8"/>
        <v>6.5059496053377616E-2</v>
      </c>
      <c r="M26">
        <f t="shared" si="9"/>
        <v>213.63205027278383</v>
      </c>
      <c r="N26">
        <v>144.755</v>
      </c>
      <c r="O26">
        <f t="shared" si="2"/>
        <v>1.3900012196605917E-2</v>
      </c>
      <c r="Q26">
        <f>Q25+1</f>
        <v>48</v>
      </c>
      <c r="R26">
        <f>$R$4+$U$8*(Q26-$Q$4)</f>
        <v>158.38999999999999</v>
      </c>
      <c r="S26">
        <f>$S$4+$U$9*(Q26-$Q$4)</f>
        <v>225.05</v>
      </c>
      <c r="Y26">
        <f t="shared" si="10"/>
        <v>45</v>
      </c>
      <c r="Z26">
        <f t="shared" si="11"/>
        <v>0.50834188435718963</v>
      </c>
      <c r="AA26">
        <f t="shared" si="12"/>
        <v>-3.8056428988670286</v>
      </c>
      <c r="AB26">
        <f t="shared" si="13"/>
        <v>9.5953378267816944</v>
      </c>
      <c r="AC26">
        <f t="shared" si="14"/>
        <v>6.5059496053377616E-2</v>
      </c>
      <c r="AD26">
        <f t="shared" si="15"/>
        <v>213.63205027278383</v>
      </c>
      <c r="AE26">
        <v>177.53</v>
      </c>
      <c r="AF26">
        <f t="shared" si="3"/>
        <v>2.6106554053447605E-2</v>
      </c>
      <c r="AH26">
        <f t="shared" si="0"/>
        <v>48</v>
      </c>
      <c r="AI26">
        <f t="shared" si="1"/>
        <v>196.34</v>
      </c>
      <c r="AK26" s="18"/>
      <c r="AL26" s="19"/>
    </row>
    <row r="27" spans="8:38" x14ac:dyDescent="0.3">
      <c r="H27">
        <f t="shared" si="4"/>
        <v>46</v>
      </c>
      <c r="I27">
        <f t="shared" si="5"/>
        <v>0.50679651860002228</v>
      </c>
      <c r="J27">
        <f t="shared" si="6"/>
        <v>-3.7923331374506657</v>
      </c>
      <c r="K27">
        <f t="shared" si="7"/>
        <v>10.09981329865885</v>
      </c>
      <c r="L27">
        <f t="shared" si="8"/>
        <v>6.8858676833221666E-2</v>
      </c>
      <c r="M27">
        <f t="shared" si="9"/>
        <v>224.59326544693448</v>
      </c>
      <c r="N27">
        <v>149.30000000000001</v>
      </c>
      <c r="O27">
        <f t="shared" si="2"/>
        <v>1.2717357261705536E-2</v>
      </c>
      <c r="Y27">
        <f t="shared" si="10"/>
        <v>46</v>
      </c>
      <c r="Z27">
        <f t="shared" si="11"/>
        <v>0.50679651860002228</v>
      </c>
      <c r="AA27">
        <f t="shared" si="12"/>
        <v>-3.7923331374506657</v>
      </c>
      <c r="AB27">
        <f t="shared" si="13"/>
        <v>10.09981329865885</v>
      </c>
      <c r="AC27">
        <f t="shared" si="14"/>
        <v>6.8858676833221666E-2</v>
      </c>
      <c r="AD27">
        <f t="shared" si="15"/>
        <v>224.59326544693448</v>
      </c>
      <c r="AE27">
        <v>183.79999999999998</v>
      </c>
      <c r="AF27">
        <f>(Y28-Y27)*(1/(AD27-AE27)+1/(AD28-AE28))/2</f>
        <v>2.3113018784886599E-2</v>
      </c>
      <c r="AH27">
        <f t="shared" si="0"/>
        <v>49</v>
      </c>
      <c r="AI27">
        <f t="shared" si="1"/>
        <v>202.60999999999999</v>
      </c>
    </row>
    <row r="28" spans="8:38" x14ac:dyDescent="0.3">
      <c r="H28">
        <f t="shared" si="4"/>
        <v>47</v>
      </c>
      <c r="I28">
        <f t="shared" si="5"/>
        <v>0.50525115284285493</v>
      </c>
      <c r="J28">
        <f t="shared" si="6"/>
        <v>-3.7790458336162849</v>
      </c>
      <c r="K28">
        <f t="shared" si="7"/>
        <v>10.626926860865749</v>
      </c>
      <c r="L28">
        <f t="shared" si="8"/>
        <v>7.287349202490076E-2</v>
      </c>
      <c r="M28">
        <f t="shared" si="9"/>
        <v>236.12708235882383</v>
      </c>
      <c r="N28">
        <v>153.845</v>
      </c>
      <c r="O28">
        <f t="shared" si="2"/>
        <v>1.1639693488696512E-2</v>
      </c>
      <c r="Y28">
        <f t="shared" si="10"/>
        <v>47</v>
      </c>
      <c r="Z28">
        <f t="shared" si="11"/>
        <v>0.50525115284285493</v>
      </c>
      <c r="AA28">
        <f t="shared" si="12"/>
        <v>-3.7790458336162849</v>
      </c>
      <c r="AB28">
        <f t="shared" si="13"/>
        <v>10.626926860865749</v>
      </c>
      <c r="AC28">
        <f t="shared" si="14"/>
        <v>7.287349202490076E-2</v>
      </c>
      <c r="AD28">
        <f t="shared" si="15"/>
        <v>236.12708235882383</v>
      </c>
      <c r="AE28">
        <v>190.07</v>
      </c>
      <c r="AF28">
        <f>(Y29-Y28)*(1/(AD28-AE28)+1/(AD29-AE29))/2</f>
        <v>2.0484629846038896E-2</v>
      </c>
      <c r="AH28">
        <f t="shared" si="0"/>
        <v>50</v>
      </c>
      <c r="AI28">
        <f t="shared" si="1"/>
        <v>208.88</v>
      </c>
    </row>
    <row r="29" spans="8:38" x14ac:dyDescent="0.3">
      <c r="H29">
        <f t="shared" si="4"/>
        <v>48</v>
      </c>
      <c r="I29">
        <f t="shared" si="5"/>
        <v>0.50370578708568747</v>
      </c>
      <c r="J29">
        <f t="shared" si="6"/>
        <v>-3.7657808685045735</v>
      </c>
      <c r="K29">
        <f t="shared" si="7"/>
        <v>11.177505552762533</v>
      </c>
      <c r="L29">
        <f t="shared" si="8"/>
        <v>7.7117161822799596E-2</v>
      </c>
      <c r="M29">
        <f t="shared" si="9"/>
        <v>248.26897347756338</v>
      </c>
      <c r="N29">
        <v>158.38999999999999</v>
      </c>
      <c r="Y29">
        <f t="shared" si="10"/>
        <v>48</v>
      </c>
      <c r="Z29">
        <f t="shared" si="11"/>
        <v>0.50370578708568747</v>
      </c>
      <c r="AA29">
        <f t="shared" si="12"/>
        <v>-3.7657808685045735</v>
      </c>
      <c r="AB29">
        <f t="shared" si="13"/>
        <v>11.177505552762533</v>
      </c>
      <c r="AC29">
        <f t="shared" si="14"/>
        <v>7.7117161822799596E-2</v>
      </c>
      <c r="AD29">
        <f t="shared" si="15"/>
        <v>248.26897347756338</v>
      </c>
      <c r="AE29">
        <v>196.34</v>
      </c>
      <c r="AF29">
        <f>(Y30-Y29)*(1/(AD29-AE29)+1/(AD30-AE30))/2</f>
        <v>1.8183277513340357E-2</v>
      </c>
      <c r="AH29">
        <f t="shared" si="0"/>
        <v>51</v>
      </c>
    </row>
    <row r="30" spans="8:38" x14ac:dyDescent="0.3">
      <c r="H30">
        <f t="shared" si="4"/>
        <v>49</v>
      </c>
      <c r="I30">
        <f t="shared" si="5"/>
        <v>0.50216042132852001</v>
      </c>
      <c r="J30">
        <f t="shared" si="6"/>
        <v>-3.7525381230778199</v>
      </c>
      <c r="K30">
        <f t="shared" si="7"/>
        <v>11.752398822442707</v>
      </c>
      <c r="L30">
        <f t="shared" si="8"/>
        <v>8.1603912966601397E-2</v>
      </c>
      <c r="M30">
        <f t="shared" si="9"/>
        <v>261.05712079634043</v>
      </c>
      <c r="Y30">
        <f t="shared" si="10"/>
        <v>49</v>
      </c>
      <c r="Z30">
        <f t="shared" si="11"/>
        <v>0.50216042132852001</v>
      </c>
      <c r="AA30">
        <f t="shared" si="12"/>
        <v>-3.7525381230778199</v>
      </c>
      <c r="AB30">
        <f t="shared" si="13"/>
        <v>11.752398822442707</v>
      </c>
      <c r="AC30">
        <f t="shared" si="14"/>
        <v>8.1603912966601397E-2</v>
      </c>
      <c r="AD30">
        <f t="shared" si="15"/>
        <v>261.05712079634043</v>
      </c>
      <c r="AE30">
        <v>202.60999999999999</v>
      </c>
      <c r="AF30">
        <f>(Y31-Y30)*(1/(AD30-AE30)+1/(AD31-AE31))/2</f>
        <v>1.6170576104464887E-2</v>
      </c>
      <c r="AH30">
        <f t="shared" si="0"/>
        <v>52</v>
      </c>
    </row>
    <row r="31" spans="8:38" x14ac:dyDescent="0.3">
      <c r="H31">
        <f t="shared" si="4"/>
        <v>50</v>
      </c>
      <c r="I31">
        <f t="shared" si="5"/>
        <v>0.50061505557135266</v>
      </c>
      <c r="J31">
        <f t="shared" si="6"/>
        <v>-3.7393174781299496</v>
      </c>
      <c r="K31">
        <f t="shared" si="7"/>
        <v>12.352478870253689</v>
      </c>
      <c r="L31">
        <f t="shared" si="8"/>
        <v>8.6349078752607944E-2</v>
      </c>
      <c r="M31">
        <f t="shared" si="9"/>
        <v>274.53268482364132</v>
      </c>
      <c r="Y31">
        <f t="shared" si="10"/>
        <v>50</v>
      </c>
      <c r="Z31">
        <f t="shared" si="11"/>
        <v>0.50061505557135266</v>
      </c>
      <c r="AA31">
        <f t="shared" si="12"/>
        <v>-3.7393174781299496</v>
      </c>
      <c r="AB31">
        <f t="shared" si="13"/>
        <v>12.352478870253689</v>
      </c>
      <c r="AC31">
        <f t="shared" si="14"/>
        <v>8.6349078752607944E-2</v>
      </c>
      <c r="AD31">
        <f t="shared" si="15"/>
        <v>274.53268482364132</v>
      </c>
      <c r="AE31">
        <v>208.88</v>
      </c>
      <c r="AH31">
        <f t="shared" si="0"/>
        <v>53</v>
      </c>
    </row>
    <row r="32" spans="8:38" x14ac:dyDescent="0.3">
      <c r="H32">
        <f t="shared" si="4"/>
        <v>51</v>
      </c>
      <c r="I32">
        <f t="shared" si="5"/>
        <v>0.49906968981418531</v>
      </c>
      <c r="J32">
        <f t="shared" si="6"/>
        <v>-3.7261188142964508</v>
      </c>
      <c r="K32">
        <f t="shared" si="7"/>
        <v>12.978640990654945</v>
      </c>
      <c r="L32">
        <f t="shared" si="8"/>
        <v>9.1369211354998078E-2</v>
      </c>
      <c r="M32">
        <f t="shared" si="9"/>
        <v>288.74010667000346</v>
      </c>
      <c r="Y32">
        <f t="shared" si="10"/>
        <v>51</v>
      </c>
      <c r="Z32">
        <f t="shared" si="11"/>
        <v>0.49906968981418531</v>
      </c>
      <c r="AA32">
        <f t="shared" si="12"/>
        <v>-3.7261188142964508</v>
      </c>
      <c r="AB32">
        <f t="shared" si="13"/>
        <v>12.978640990654945</v>
      </c>
      <c r="AC32">
        <f t="shared" si="14"/>
        <v>9.1369211354998078E-2</v>
      </c>
      <c r="AD32">
        <f t="shared" si="15"/>
        <v>288.74010667000346</v>
      </c>
    </row>
    <row r="33" spans="8:30" x14ac:dyDescent="0.3">
      <c r="H33">
        <f t="shared" si="4"/>
        <v>52</v>
      </c>
      <c r="I33">
        <f t="shared" si="5"/>
        <v>0.49752432405701785</v>
      </c>
      <c r="J33">
        <f t="shared" si="6"/>
        <v>-3.7129420120642163</v>
      </c>
      <c r="K33">
        <f t="shared" si="7"/>
        <v>13.631803912260605</v>
      </c>
      <c r="L33">
        <f t="shared" si="8"/>
        <v>9.6682208253940305E-2</v>
      </c>
      <c r="M33">
        <f t="shared" si="9"/>
        <v>303.72744806204798</v>
      </c>
      <c r="Y33">
        <f t="shared" si="10"/>
        <v>52</v>
      </c>
      <c r="Z33">
        <f t="shared" si="11"/>
        <v>0.49752432405701785</v>
      </c>
      <c r="AA33">
        <f t="shared" si="12"/>
        <v>-3.7129420120642163</v>
      </c>
      <c r="AB33">
        <f t="shared" si="13"/>
        <v>13.631803912260605</v>
      </c>
      <c r="AC33">
        <f t="shared" si="14"/>
        <v>9.6682208253940305E-2</v>
      </c>
      <c r="AD33">
        <f t="shared" si="15"/>
        <v>303.72744806204798</v>
      </c>
    </row>
    <row r="34" spans="8:30" x14ac:dyDescent="0.3">
      <c r="H34">
        <f t="shared" si="4"/>
        <v>53</v>
      </c>
      <c r="I34">
        <f t="shared" si="5"/>
        <v>0.49597895829985039</v>
      </c>
      <c r="J34">
        <f t="shared" si="6"/>
        <v>-3.6997869517812627</v>
      </c>
      <c r="K34">
        <f t="shared" si="7"/>
        <v>14.312910135916688</v>
      </c>
      <c r="L34">
        <f t="shared" si="8"/>
        <v>0.10230745487330369</v>
      </c>
      <c r="M34">
        <f t="shared" si="9"/>
        <v>319.54677493791803</v>
      </c>
      <c r="Y34">
        <f t="shared" si="10"/>
        <v>53</v>
      </c>
      <c r="Z34">
        <f t="shared" si="11"/>
        <v>0.49597895829985039</v>
      </c>
      <c r="AA34">
        <f t="shared" si="12"/>
        <v>-3.6997869517812627</v>
      </c>
      <c r="AB34">
        <f t="shared" si="13"/>
        <v>14.312910135916688</v>
      </c>
      <c r="AC34">
        <f t="shared" si="14"/>
        <v>0.10230745487330369</v>
      </c>
      <c r="AD34">
        <f t="shared" si="15"/>
        <v>319.54677493791803</v>
      </c>
    </row>
    <row r="35" spans="8:30" x14ac:dyDescent="0.3">
      <c r="H35">
        <f t="shared" si="4"/>
        <v>54</v>
      </c>
      <c r="I35">
        <f t="shared" si="5"/>
        <v>0.49443359254268304</v>
      </c>
      <c r="J35">
        <f t="shared" si="6"/>
        <v>-3.686653513666355</v>
      </c>
      <c r="K35">
        <f t="shared" si="7"/>
        <v>15.022926270663554</v>
      </c>
      <c r="L35">
        <f t="shared" si="8"/>
        <v>0.10826598589638284</v>
      </c>
      <c r="M35">
        <f t="shared" si="9"/>
        <v>336.25459126154192</v>
      </c>
      <c r="Y35">
        <f t="shared" si="10"/>
        <v>54</v>
      </c>
      <c r="Z35">
        <f t="shared" si="11"/>
        <v>0.49443359254268304</v>
      </c>
      <c r="AA35">
        <f t="shared" si="12"/>
        <v>-3.686653513666355</v>
      </c>
      <c r="AB35">
        <f t="shared" si="13"/>
        <v>15.022926270663554</v>
      </c>
      <c r="AC35">
        <f t="shared" si="14"/>
        <v>0.10826598589638284</v>
      </c>
      <c r="AD35">
        <f t="shared" si="15"/>
        <v>336.25459126154192</v>
      </c>
    </row>
    <row r="36" spans="8:30" x14ac:dyDescent="0.3">
      <c r="H36">
        <f t="shared" si="4"/>
        <v>55</v>
      </c>
      <c r="I36">
        <f t="shared" si="5"/>
        <v>0.49288822678551558</v>
      </c>
      <c r="J36">
        <f t="shared" si="6"/>
        <v>-3.6735415778185372</v>
      </c>
      <c r="K36">
        <f t="shared" si="7"/>
        <v>15.76284336743695</v>
      </c>
      <c r="L36">
        <f t="shared" si="8"/>
        <v>0.11458066816691874</v>
      </c>
      <c r="M36">
        <f t="shared" si="9"/>
        <v>353.91233087324804</v>
      </c>
      <c r="Y36">
        <f t="shared" si="10"/>
        <v>55</v>
      </c>
      <c r="Z36">
        <f t="shared" si="11"/>
        <v>0.49288822678551558</v>
      </c>
      <c r="AA36">
        <f t="shared" si="12"/>
        <v>-3.6735415778185372</v>
      </c>
      <c r="AB36">
        <f t="shared" si="13"/>
        <v>15.76284336743695</v>
      </c>
      <c r="AC36">
        <f t="shared" si="14"/>
        <v>0.11458066816691874</v>
      </c>
      <c r="AD36">
        <f t="shared" si="15"/>
        <v>353.91233087324804</v>
      </c>
    </row>
    <row r="37" spans="8:30" x14ac:dyDescent="0.3">
      <c r="H37">
        <f t="shared" si="4"/>
        <v>56</v>
      </c>
      <c r="I37">
        <f t="shared" si="5"/>
        <v>0.49134286102834823</v>
      </c>
      <c r="J37">
        <f t="shared" si="6"/>
        <v>-3.6604510242265369</v>
      </c>
      <c r="K37">
        <f t="shared" si="7"/>
        <v>16.533677250365017</v>
      </c>
      <c r="L37">
        <f t="shared" si="8"/>
        <v>0.12127640861139678</v>
      </c>
      <c r="M37">
        <f t="shared" si="9"/>
        <v>372.58691661592218</v>
      </c>
      <c r="Y37">
        <f t="shared" si="10"/>
        <v>56</v>
      </c>
      <c r="Z37">
        <f t="shared" si="11"/>
        <v>0.49134286102834823</v>
      </c>
      <c r="AA37">
        <f t="shared" si="12"/>
        <v>-3.6604510242265369</v>
      </c>
      <c r="AB37">
        <f t="shared" si="13"/>
        <v>16.533677250365017</v>
      </c>
      <c r="AC37">
        <f t="shared" si="14"/>
        <v>0.12127640861139678</v>
      </c>
      <c r="AD37">
        <f t="shared" si="15"/>
        <v>372.58691661592218</v>
      </c>
    </row>
    <row r="38" spans="8:30" x14ac:dyDescent="0.3">
      <c r="H38">
        <f>H37+1</f>
        <v>57</v>
      </c>
      <c r="I38">
        <f t="shared" si="5"/>
        <v>0.48979749527118077</v>
      </c>
      <c r="J38">
        <f t="shared" si="6"/>
        <v>-3.6473817327780966</v>
      </c>
      <c r="K38">
        <f t="shared" si="7"/>
        <v>17.33646884551737</v>
      </c>
      <c r="L38">
        <f t="shared" si="8"/>
        <v>0.12838039125797676</v>
      </c>
      <c r="M38">
        <f t="shared" si="9"/>
        <v>392.35139769516377</v>
      </c>
      <c r="Y38">
        <f t="shared" si="10"/>
        <v>57</v>
      </c>
      <c r="Z38">
        <f t="shared" si="11"/>
        <v>0.48979749527118077</v>
      </c>
      <c r="AA38">
        <f t="shared" si="12"/>
        <v>-3.6473817327780966</v>
      </c>
      <c r="AB38">
        <f t="shared" si="13"/>
        <v>17.33646884551737</v>
      </c>
      <c r="AC38">
        <f t="shared" si="14"/>
        <v>0.12838039125797676</v>
      </c>
      <c r="AD38">
        <f t="shared" si="15"/>
        <v>392.35139769516377</v>
      </c>
    </row>
    <row r="39" spans="8:30" x14ac:dyDescent="0.3">
      <c r="H39">
        <f t="shared" si="4"/>
        <v>58</v>
      </c>
      <c r="I39">
        <f t="shared" si="5"/>
        <v>0.48825212951401342</v>
      </c>
      <c r="J39">
        <f t="shared" si="6"/>
        <v>-3.6343335832691839</v>
      </c>
      <c r="K39">
        <f t="shared" si="7"/>
        <v>18.17228450696933</v>
      </c>
      <c r="L39">
        <f t="shared" si="8"/>
        <v>0.13592234820395344</v>
      </c>
      <c r="M39">
        <f t="shared" si="9"/>
        <v>413.28567832000095</v>
      </c>
      <c r="Y39">
        <f t="shared" si="10"/>
        <v>58</v>
      </c>
      <c r="Z39">
        <f t="shared" si="11"/>
        <v>0.48825212951401342</v>
      </c>
      <c r="AA39">
        <f t="shared" si="12"/>
        <v>-3.6343335832691839</v>
      </c>
      <c r="AB39">
        <f t="shared" si="13"/>
        <v>18.17228450696933</v>
      </c>
      <c r="AC39">
        <f t="shared" si="14"/>
        <v>0.13592234820395344</v>
      </c>
      <c r="AD39">
        <f t="shared" si="15"/>
        <v>413.28567832000095</v>
      </c>
    </row>
    <row r="40" spans="8:30" x14ac:dyDescent="0.3">
      <c r="H40">
        <f t="shared" si="4"/>
        <v>59</v>
      </c>
      <c r="I40">
        <f t="shared" si="5"/>
        <v>0.48670676375684596</v>
      </c>
      <c r="J40">
        <f t="shared" si="6"/>
        <v>-3.6213064554131051</v>
      </c>
      <c r="K40">
        <f t="shared" si="7"/>
        <v>19.042216340044032</v>
      </c>
      <c r="L40">
        <f t="shared" si="8"/>
        <v>0.14393487033068747</v>
      </c>
      <c r="M40">
        <f t="shared" si="9"/>
        <v>435.47735321729363</v>
      </c>
      <c r="Y40">
        <f t="shared" si="10"/>
        <v>59</v>
      </c>
      <c r="Z40">
        <f t="shared" si="11"/>
        <v>0.48670676375684596</v>
      </c>
      <c r="AA40">
        <f t="shared" si="12"/>
        <v>-3.6213064554131051</v>
      </c>
      <c r="AB40">
        <f t="shared" si="13"/>
        <v>19.042216340044032</v>
      </c>
      <c r="AC40">
        <f t="shared" si="14"/>
        <v>0.14393487033068747</v>
      </c>
      <c r="AD40">
        <f t="shared" si="15"/>
        <v>435.47735321729363</v>
      </c>
    </row>
    <row r="41" spans="8:30" x14ac:dyDescent="0.3">
      <c r="H41">
        <f t="shared" si="4"/>
        <v>60</v>
      </c>
      <c r="I41">
        <f t="shared" si="5"/>
        <v>0.48516139799967861</v>
      </c>
      <c r="J41">
        <f t="shared" si="6"/>
        <v>-3.6083002288495272</v>
      </c>
      <c r="K41">
        <f t="shared" si="7"/>
        <v>19.94738252159862</v>
      </c>
      <c r="L41">
        <f t="shared" si="8"/>
        <v>0.15245376472524591</v>
      </c>
      <c r="M41">
        <f t="shared" si="9"/>
        <v>459.02266873295764</v>
      </c>
      <c r="Y41">
        <f t="shared" si="10"/>
        <v>60</v>
      </c>
      <c r="Z41">
        <f t="shared" ref="Z41" si="16">1-(Y41+273.15)/$B$2</f>
        <v>0.48516139799967861</v>
      </c>
      <c r="AA41">
        <f t="shared" ref="AA41" si="17">$B$4*Z41+$B$5*Z41^1.5+$B$6*Z41^3+$B$7*Z41^3.5+$B$8*Z41^4+$B$9*Z41^7.5</f>
        <v>-3.6083002288495272</v>
      </c>
      <c r="AB41">
        <f t="shared" ref="AB41" si="18">$B$3*EXP($B$2*AA41/(273.15+Y41))</f>
        <v>19.94738252159862</v>
      </c>
      <c r="AC41">
        <f t="shared" ref="AC41" si="19">0.6219907*AB41/($E$4-AB41)</f>
        <v>0.15245376472524591</v>
      </c>
      <c r="AD41">
        <f t="shared" ref="AD41" si="20">(1.01+1.89*AC41)*Y41+2500*AC41</f>
        <v>459.02266873295764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CoolingTower</vt:lpstr>
    </vt:vector>
  </TitlesOfParts>
  <Company>University of Thessaly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Masteruser</dc:creator>
  <cp:lastModifiedBy>Masteruser</cp:lastModifiedBy>
  <dcterms:created xsi:type="dcterms:W3CDTF">2021-01-14T05:55:09Z</dcterms:created>
  <dcterms:modified xsi:type="dcterms:W3CDTF">2022-12-16T13:39:01Z</dcterms:modified>
</cp:coreProperties>
</file>