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asteruser\Documents\Teaching\ΣΥΣΚΕΥΕΣ_ΘΕΡΜΙΚΩΝ_ΔΙΕΡΓΑΣΙΩΝ\ΑΣΚΗΣΕΙΣ_ΕΡΓΑΣΙΕΣ\"/>
    </mc:Choice>
  </mc:AlternateContent>
  <xr:revisionPtr revIDLastSave="0" documentId="13_ncr:1_{182D7B1B-76F6-4184-9FFF-88BF49ECE1BF}" xr6:coauthVersionLast="36" xr6:coauthVersionMax="36" xr10:uidLastSave="{00000000-0000-0000-0000-000000000000}"/>
  <bookViews>
    <workbookView xWindow="0" yWindow="0" windowWidth="14316" windowHeight="7248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  <c r="D20" i="1"/>
  <c r="E20" i="1"/>
  <c r="B20" i="1"/>
  <c r="H4" i="1"/>
  <c r="I3" i="1"/>
  <c r="I2" i="1"/>
  <c r="H3" i="1"/>
  <c r="D12" i="1"/>
  <c r="D24" i="1" s="1"/>
  <c r="C24" i="1"/>
  <c r="E24" i="1"/>
  <c r="B24" i="1"/>
  <c r="B26" i="1" l="1"/>
  <c r="J28" i="1"/>
  <c r="K28" i="1"/>
  <c r="B25" i="1"/>
  <c r="B23" i="1"/>
  <c r="I12" i="1"/>
  <c r="J12" i="1"/>
  <c r="K12" i="1"/>
  <c r="H12" i="1"/>
  <c r="J3" i="1"/>
  <c r="K3" i="1"/>
  <c r="C12" i="1"/>
  <c r="E12" i="1"/>
  <c r="E23" i="1" s="1"/>
  <c r="E25" i="1" s="1"/>
  <c r="B12" i="1"/>
  <c r="C22" i="1"/>
  <c r="D22" i="1"/>
  <c r="D23" i="1" s="1"/>
  <c r="E22" i="1"/>
  <c r="B22" i="1"/>
  <c r="H5" i="1"/>
  <c r="H2" i="1"/>
  <c r="H6" i="1"/>
  <c r="B14" i="1"/>
  <c r="H8" i="1" l="1"/>
  <c r="H20" i="1"/>
  <c r="C23" i="1"/>
  <c r="C25" i="1" s="1"/>
  <c r="D25" i="1"/>
  <c r="H7" i="1"/>
  <c r="J2" i="1"/>
  <c r="K2" i="1"/>
  <c r="E2" i="1"/>
  <c r="H10" i="1" l="1"/>
  <c r="H9" i="1"/>
  <c r="C26" i="1"/>
  <c r="D26" i="1"/>
  <c r="E26" i="1"/>
  <c r="H11" i="1" l="1"/>
  <c r="H28" i="1" s="1"/>
  <c r="I4" i="1"/>
  <c r="J4" i="1"/>
  <c r="K4" i="1"/>
  <c r="I6" i="1"/>
  <c r="I5" i="1"/>
  <c r="I8" i="1"/>
  <c r="C14" i="1"/>
  <c r="D14" i="1"/>
  <c r="H13" i="1" l="1"/>
  <c r="H15" i="1" s="1"/>
  <c r="H14" i="1"/>
  <c r="H16" i="1" s="1"/>
  <c r="I7" i="1"/>
  <c r="I20" i="1"/>
  <c r="H17" i="1" l="1"/>
  <c r="H19" i="1" s="1"/>
  <c r="I9" i="1"/>
  <c r="I10" i="1"/>
  <c r="I11" i="1" s="1"/>
  <c r="I28" i="1" s="1"/>
  <c r="H21" i="1" l="1"/>
  <c r="H23" i="1" s="1"/>
  <c r="H24" i="1" s="1"/>
  <c r="I14" i="1"/>
  <c r="I16" i="1" s="1"/>
  <c r="H22" i="1" l="1"/>
  <c r="I13" i="1"/>
  <c r="I15" i="1" l="1"/>
  <c r="I17" i="1" s="1"/>
  <c r="I19" i="1" s="1"/>
  <c r="I21" i="1" s="1"/>
  <c r="I23" i="1" l="1"/>
  <c r="I24" i="1" s="1"/>
  <c r="I22" i="1"/>
  <c r="E14" i="1"/>
  <c r="K6" i="1"/>
  <c r="J6" i="1"/>
  <c r="K5" i="1"/>
  <c r="J5" i="1"/>
  <c r="K8" i="1" l="1"/>
  <c r="K7" i="1"/>
  <c r="J8" i="1"/>
  <c r="J7" i="1"/>
  <c r="J20" i="1"/>
  <c r="K20" i="1"/>
  <c r="J9" i="1" l="1"/>
  <c r="K9" i="1"/>
  <c r="K10" i="1"/>
  <c r="J10" i="1"/>
  <c r="J11" i="1" l="1"/>
  <c r="K11" i="1"/>
  <c r="K14" i="1" s="1"/>
  <c r="K16" i="1" s="1"/>
  <c r="J14" i="1"/>
  <c r="J16" i="1" s="1"/>
  <c r="J13" i="1" l="1"/>
  <c r="K13" i="1"/>
  <c r="K15" i="1" s="1"/>
  <c r="J15" i="1" l="1"/>
  <c r="J17" i="1" s="1"/>
  <c r="J19" i="1" s="1"/>
  <c r="J21" i="1" s="1"/>
  <c r="K17" i="1"/>
  <c r="K19" i="1" s="1"/>
  <c r="K21" i="1" s="1"/>
  <c r="K23" i="1" s="1"/>
  <c r="K24" i="1" s="1"/>
  <c r="J23" i="1" l="1"/>
  <c r="J24" i="1" s="1"/>
  <c r="J22" i="1"/>
  <c r="K22" i="1"/>
</calcChain>
</file>

<file path=xl/sharedStrings.xml><?xml version="1.0" encoding="utf-8"?>
<sst xmlns="http://schemas.openxmlformats.org/spreadsheetml/2006/main" count="56" uniqueCount="48">
  <si>
    <t>Power (kW)</t>
  </si>
  <si>
    <t>T_Ge (K)</t>
  </si>
  <si>
    <t>η</t>
  </si>
  <si>
    <t>C (weight fraction)</t>
  </si>
  <si>
    <t>H</t>
  </si>
  <si>
    <t>kmol CO2</t>
  </si>
  <si>
    <t>S</t>
  </si>
  <si>
    <t>kmol H2O</t>
  </si>
  <si>
    <t>O</t>
  </si>
  <si>
    <t>kmol N2</t>
  </si>
  <si>
    <t>N</t>
  </si>
  <si>
    <t>kmol O2</t>
  </si>
  <si>
    <t>r</t>
  </si>
  <si>
    <t>rH2O</t>
  </si>
  <si>
    <t>kG</t>
  </si>
  <si>
    <t>ks</t>
  </si>
  <si>
    <t>k_lum</t>
  </si>
  <si>
    <t>ε_w</t>
  </si>
  <si>
    <t>k_non</t>
  </si>
  <si>
    <t>ε_lum</t>
  </si>
  <si>
    <t>ε_non</t>
  </si>
  <si>
    <t>fuel oil</t>
  </si>
  <si>
    <t>natural gas</t>
  </si>
  <si>
    <t>ε_f</t>
  </si>
  <si>
    <t>ε</t>
  </si>
  <si>
    <t>Bo</t>
  </si>
  <si>
    <t>T_Ge (oC)</t>
  </si>
  <si>
    <t>T_Ga (K)</t>
  </si>
  <si>
    <t>μ_Α</t>
  </si>
  <si>
    <t>μ_Α0</t>
  </si>
  <si>
    <t>m_B</t>
  </si>
  <si>
    <t>x^2-Bo(1-x)</t>
  </si>
  <si>
    <t>ΔΗ_vl, kJ/kg</t>
  </si>
  <si>
    <t>q_v[=]MW/m3</t>
  </si>
  <si>
    <t>CpG(T_Ge)</t>
  </si>
  <si>
    <t>LHV[=]kJ/kg</t>
  </si>
  <si>
    <t>D_firetube[=]m</t>
  </si>
  <si>
    <t>L_firetube[=]m</t>
  </si>
  <si>
    <t>P (MPa)</t>
  </si>
  <si>
    <t>PREDICTION</t>
  </si>
  <si>
    <t>Α_f</t>
  </si>
  <si>
    <t>D_b</t>
  </si>
  <si>
    <t>G_st[=]kg/m2/s</t>
  </si>
  <si>
    <t>V_water</t>
  </si>
  <si>
    <t>A_surface</t>
  </si>
  <si>
    <t>λ</t>
  </si>
  <si>
    <t>kG.r</t>
  </si>
  <si>
    <t>m_st[=]kg/h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</si>
</sst>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8];[Red]&quot;-&quot;#,##0.00&quot; &quot;[$€-408]"/>
  </numFmts>
  <fonts count="7" x14ac:knownFonts="1">
    <font>
      <sz val="11"/>
      <color theme="1"/>
      <name val="Arial"/>
      <family val="2"/>
      <charset val="161"/>
    </font>
    <font>
      <b/>
      <i/>
      <sz val="16"/>
      <color theme="1"/>
      <name val="Arial"/>
      <family val="2"/>
      <charset val="161"/>
    </font>
    <font>
      <b/>
      <i/>
      <u/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i/>
      <sz val="11"/>
      <color theme="1"/>
      <name val="Arial"/>
      <family val="2"/>
      <charset val="161"/>
    </font>
    <font>
      <i/>
      <sz val="11"/>
      <color theme="1"/>
      <name val="Arial"/>
      <family val="2"/>
      <charset val="161"/>
    </font>
    <font>
      <b/>
      <i/>
      <sz val="11"/>
      <color theme="4" tint="-0.249977111117893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5" fillId="2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2" fontId="5" fillId="3" borderId="0" xfId="0" applyNumberFormat="1" applyFont="1" applyFill="1"/>
    <xf numFmtId="0" fontId="3" fillId="2" borderId="0" xfId="0" applyFont="1" applyFill="1"/>
    <xf numFmtId="0" fontId="3" fillId="4" borderId="0" xfId="0" applyFont="1" applyFill="1"/>
    <xf numFmtId="0" fontId="5" fillId="4" borderId="0" xfId="0" applyFont="1" applyFill="1"/>
    <xf numFmtId="0" fontId="6" fillId="0" borderId="0" xfId="0" applyFont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2000000}"/>
    <cellStyle name="Result2" xfId="4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274320</xdr:colOff>
      <xdr:row>17</xdr:row>
      <xdr:rowOff>129540</xdr:rowOff>
    </xdr:from>
    <xdr:to>
      <xdr:col>5</xdr:col>
      <xdr:colOff>548640</xdr:colOff>
      <xdr:row>24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6DC6324-AE1B-454A-9AB7-51E63593BCC7}"/>
            </a:ext>
          </a:extLst>
        </xdr:cNvPr>
        <xdr:cNvCxnSpPr/>
      </xdr:nvCxnSpPr>
      <xdr:spPr>
        <a:xfrm flipV="1">
          <a:off x="4305300" y="3116580"/>
          <a:ext cx="274320" cy="12268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251460</xdr:colOff>
      <xdr:row>3</xdr:row>
      <xdr:rowOff>121920</xdr:rowOff>
    </xdr:from>
    <xdr:to>
      <xdr:col>20</xdr:col>
      <xdr:colOff>593389</xdr:colOff>
      <xdr:row>24</xdr:row>
      <xdr:rowOff>131386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1F6287-2503-4FD6-A665-A91A9BF10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655320"/>
          <a:ext cx="6376969" cy="3712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="120" zoomScaleNormal="120" workbookViewId="0">
      <selection activeCell="A21" sqref="A21"/>
    </sheetView>
  </sheetViews>
  <sheetFormatPr defaultRowHeight="13.8" x14ac:dyDescent="0.25"/>
  <cols>
    <col min="1" max="1" width="17.69921875" customWidth="1"/>
    <col min="2" max="4" width="8.5" customWidth="1"/>
    <col min="5" max="5" width="9.69921875" customWidth="1"/>
    <col min="6" max="6" width="8.5" customWidth="1"/>
    <col min="7" max="7" width="11.09765625" customWidth="1"/>
    <col min="8" max="10" width="8.5" customWidth="1"/>
    <col min="11" max="11" width="11.19921875" customWidth="1"/>
  </cols>
  <sheetData>
    <row r="1" spans="1:11" ht="14.4" x14ac:dyDescent="0.3">
      <c r="A1" s="10" t="s">
        <v>0</v>
      </c>
      <c r="B1" s="11">
        <v>1000</v>
      </c>
      <c r="C1" s="11">
        <v>3000</v>
      </c>
      <c r="D1" s="11">
        <v>10000</v>
      </c>
      <c r="E1" s="11">
        <v>10000</v>
      </c>
      <c r="G1" s="10" t="s">
        <v>0</v>
      </c>
      <c r="H1" s="11">
        <v>1000</v>
      </c>
      <c r="I1" s="11">
        <v>3000</v>
      </c>
      <c r="J1" s="11">
        <v>10000</v>
      </c>
      <c r="K1" s="11">
        <v>10000</v>
      </c>
    </row>
    <row r="2" spans="1:11" x14ac:dyDescent="0.25">
      <c r="A2" s="1" t="s">
        <v>35</v>
      </c>
      <c r="B2" s="4">
        <v>41200</v>
      </c>
      <c r="C2" s="4">
        <v>41200</v>
      </c>
      <c r="D2" s="4">
        <v>41200</v>
      </c>
      <c r="E2" s="4">
        <f>802.2/16*1000</f>
        <v>50137.5</v>
      </c>
      <c r="G2" s="1" t="s">
        <v>29</v>
      </c>
      <c r="H2">
        <f>11.51*B3+34.3*B4+4.31*B5-4.32*B6</f>
        <v>14.2448</v>
      </c>
      <c r="I2">
        <f>11.51*C3+34.3*C4+4.31*C5-4.32*C6</f>
        <v>14.2448</v>
      </c>
      <c r="J2">
        <f t="shared" ref="I2:K2" si="0">11.51*D3+34.3*D4+4.31*D5-4.32*D6</f>
        <v>14.2448</v>
      </c>
      <c r="K2">
        <f t="shared" si="0"/>
        <v>17.2075</v>
      </c>
    </row>
    <row r="3" spans="1:11" x14ac:dyDescent="0.25">
      <c r="A3" s="1" t="s">
        <v>3</v>
      </c>
      <c r="B3">
        <v>0.88</v>
      </c>
      <c r="C3">
        <v>0.88</v>
      </c>
      <c r="D3">
        <v>0.88</v>
      </c>
      <c r="E3">
        <v>0.75</v>
      </c>
      <c r="G3" s="1" t="s">
        <v>28</v>
      </c>
      <c r="H3">
        <f>H2*B8</f>
        <v>16.381519999999998</v>
      </c>
      <c r="I3">
        <f>I2*C8</f>
        <v>16.381519999999998</v>
      </c>
      <c r="J3">
        <f t="shared" ref="I3:K3" si="1">J2*D8</f>
        <v>16.381519999999998</v>
      </c>
      <c r="K3">
        <f t="shared" si="1"/>
        <v>19.788625</v>
      </c>
    </row>
    <row r="4" spans="1:11" x14ac:dyDescent="0.25">
      <c r="A4" s="1" t="s">
        <v>4</v>
      </c>
      <c r="B4">
        <v>0.12</v>
      </c>
      <c r="C4">
        <v>0.12</v>
      </c>
      <c r="D4">
        <v>0.12</v>
      </c>
      <c r="E4">
        <v>0.25</v>
      </c>
      <c r="G4" s="1" t="s">
        <v>30</v>
      </c>
      <c r="H4">
        <f>B1/B2</f>
        <v>2.4271844660194174E-2</v>
      </c>
      <c r="I4">
        <f>C1/C2</f>
        <v>7.281553398058252E-2</v>
      </c>
      <c r="J4">
        <f>D1/D2</f>
        <v>0.24271844660194175</v>
      </c>
      <c r="K4">
        <f>E1/E2</f>
        <v>0.1994515083520319</v>
      </c>
    </row>
    <row r="5" spans="1:11" x14ac:dyDescent="0.25">
      <c r="A5" s="1" t="s">
        <v>6</v>
      </c>
      <c r="B5">
        <v>0</v>
      </c>
      <c r="C5">
        <v>0</v>
      </c>
      <c r="D5">
        <v>0</v>
      </c>
      <c r="E5">
        <v>0</v>
      </c>
      <c r="G5" s="1" t="s">
        <v>5</v>
      </c>
      <c r="H5">
        <f>B3/12</f>
        <v>7.3333333333333334E-2</v>
      </c>
      <c r="I5">
        <f>C3/12</f>
        <v>7.3333333333333334E-2</v>
      </c>
      <c r="J5">
        <f>D3/12</f>
        <v>7.3333333333333334E-2</v>
      </c>
      <c r="K5">
        <f>E3/12</f>
        <v>6.25E-2</v>
      </c>
    </row>
    <row r="6" spans="1:11" x14ac:dyDescent="0.25">
      <c r="A6" s="1" t="s">
        <v>8</v>
      </c>
      <c r="B6">
        <v>0</v>
      </c>
      <c r="C6">
        <v>0</v>
      </c>
      <c r="D6">
        <v>0</v>
      </c>
      <c r="E6">
        <v>0</v>
      </c>
      <c r="G6" s="1" t="s">
        <v>7</v>
      </c>
      <c r="H6">
        <f>B4/2</f>
        <v>0.06</v>
      </c>
      <c r="I6">
        <f>C4/2</f>
        <v>0.06</v>
      </c>
      <c r="J6">
        <f>D4/2</f>
        <v>0.06</v>
      </c>
      <c r="K6">
        <f>E4/2</f>
        <v>0.125</v>
      </c>
    </row>
    <row r="7" spans="1:11" x14ac:dyDescent="0.25">
      <c r="A7" s="1" t="s">
        <v>10</v>
      </c>
      <c r="B7">
        <v>0</v>
      </c>
      <c r="C7">
        <v>0</v>
      </c>
      <c r="D7">
        <v>0</v>
      </c>
      <c r="E7">
        <v>0</v>
      </c>
      <c r="G7" s="1" t="s">
        <v>9</v>
      </c>
      <c r="H7">
        <f>(H3/29)*0.79</f>
        <v>0.44625519999999996</v>
      </c>
      <c r="I7">
        <f t="shared" ref="I7:K7" si="2">(I3/29)*0.79</f>
        <v>0.44625519999999996</v>
      </c>
      <c r="J7">
        <f t="shared" si="2"/>
        <v>0.44625519999999996</v>
      </c>
      <c r="K7">
        <f t="shared" si="2"/>
        <v>0.5390694396551724</v>
      </c>
    </row>
    <row r="8" spans="1:11" x14ac:dyDescent="0.25">
      <c r="A8" s="1" t="s">
        <v>45</v>
      </c>
      <c r="B8">
        <v>1.1499999999999999</v>
      </c>
      <c r="C8">
        <v>1.1499999999999999</v>
      </c>
      <c r="D8">
        <v>1.1499999999999999</v>
      </c>
      <c r="E8">
        <v>1.1499999999999999</v>
      </c>
      <c r="G8" s="1" t="s">
        <v>11</v>
      </c>
      <c r="H8">
        <f>(H3-H2)/29*0.21</f>
        <v>1.547279999999999E-2</v>
      </c>
      <c r="I8">
        <f t="shared" ref="I8:K8" si="3">(I3-I2)/29*0.21</f>
        <v>1.547279999999999E-2</v>
      </c>
      <c r="J8">
        <f t="shared" si="3"/>
        <v>1.547279999999999E-2</v>
      </c>
      <c r="K8">
        <f t="shared" si="3"/>
        <v>1.8690905172413792E-2</v>
      </c>
    </row>
    <row r="9" spans="1:11" x14ac:dyDescent="0.25">
      <c r="A9" s="1" t="s">
        <v>38</v>
      </c>
      <c r="B9">
        <v>0.1</v>
      </c>
      <c r="C9">
        <v>0.1</v>
      </c>
      <c r="D9">
        <v>0.1</v>
      </c>
      <c r="E9">
        <v>0.1</v>
      </c>
      <c r="G9" s="1" t="s">
        <v>12</v>
      </c>
      <c r="H9">
        <f>(H5+H6)/(H5+H6+H7+H8)</f>
        <v>0.22406653879936189</v>
      </c>
      <c r="I9">
        <f>(I5+I6)/(I5+I6+I7+I8)</f>
        <v>0.22406653879936189</v>
      </c>
      <c r="J9">
        <f>(J5+J6)/(J5+J6+J7+J8)</f>
        <v>0.22406653879936189</v>
      </c>
      <c r="K9">
        <f>(K5+K6)/(K5+K6+K7+K8)</f>
        <v>0.25158993270113894</v>
      </c>
    </row>
    <row r="10" spans="1:11" x14ac:dyDescent="0.25">
      <c r="A10" s="1" t="s">
        <v>34</v>
      </c>
      <c r="B10">
        <v>1.3</v>
      </c>
      <c r="C10">
        <v>1.3</v>
      </c>
      <c r="D10">
        <v>1.3</v>
      </c>
      <c r="E10">
        <v>1.3</v>
      </c>
      <c r="G10" s="1" t="s">
        <v>13</v>
      </c>
      <c r="H10">
        <f>(H6)/(H6+H7+H8+H5)</f>
        <v>0.10082994245971283</v>
      </c>
      <c r="I10">
        <f>(I6)/(I6+I7+I8+I5)</f>
        <v>0.10082994245971283</v>
      </c>
      <c r="J10">
        <f>(J6)/(J6+J7+J8+J5)</f>
        <v>0.10082994245971283</v>
      </c>
      <c r="K10">
        <f>(K6)/(K6+K7+K8+K5)</f>
        <v>0.16772662180075928</v>
      </c>
    </row>
    <row r="11" spans="1:11" x14ac:dyDescent="0.25">
      <c r="A11" s="1" t="s">
        <v>36</v>
      </c>
      <c r="B11">
        <v>0.6</v>
      </c>
      <c r="C11">
        <v>0.87</v>
      </c>
      <c r="D11">
        <v>1.3</v>
      </c>
      <c r="E11">
        <v>1.3</v>
      </c>
      <c r="G11" s="1" t="s">
        <v>14</v>
      </c>
      <c r="H11">
        <f>10*((0.78+1.6*H10)/((10*B9*(0.9*B11)*H9)^0.5)-0.1)*(1-0.37*H18/1000)</f>
        <v>14.220322193866325</v>
      </c>
      <c r="I11">
        <f t="shared" ref="I11:K11" si="4">10*((0.78+1.6*I10)/((10*C9*(0.9*C11)*I9)^0.5)-0.1)*(1-0.37*I18/1000)</f>
        <v>11.256001919986989</v>
      </c>
      <c r="J11">
        <f t="shared" si="4"/>
        <v>8.6625106142389878</v>
      </c>
      <c r="K11">
        <f t="shared" si="4"/>
        <v>8.248596120566285</v>
      </c>
    </row>
    <row r="12" spans="1:11" x14ac:dyDescent="0.25">
      <c r="A12" s="1" t="s">
        <v>37</v>
      </c>
      <c r="B12">
        <f>5*B11</f>
        <v>3</v>
      </c>
      <c r="C12">
        <f t="shared" ref="C12:E12" si="5">5*C11</f>
        <v>4.3499999999999996</v>
      </c>
      <c r="D12">
        <f t="shared" si="5"/>
        <v>6.5</v>
      </c>
      <c r="E12">
        <f t="shared" si="5"/>
        <v>6.5</v>
      </c>
      <c r="G12" s="1" t="s">
        <v>15</v>
      </c>
      <c r="H12">
        <f>0.3*(2-B8)*(1.6*H18/1000-0.5)*(B3/B4)</f>
        <v>2.7391760000000005</v>
      </c>
      <c r="I12">
        <f t="shared" ref="I12:K12" si="6">0.3*(2-C8)*(1.6*I18/1000-0.5)*(C3/C4)</f>
        <v>2.912712</v>
      </c>
      <c r="J12">
        <f t="shared" si="6"/>
        <v>3.1221520000000003</v>
      </c>
      <c r="K12">
        <f t="shared" si="6"/>
        <v>1.4363639999999998</v>
      </c>
    </row>
    <row r="13" spans="1:11" x14ac:dyDescent="0.25">
      <c r="A13" s="1" t="s">
        <v>17</v>
      </c>
      <c r="B13">
        <v>0.85</v>
      </c>
      <c r="C13">
        <v>0.85</v>
      </c>
      <c r="D13">
        <v>0.85</v>
      </c>
      <c r="E13">
        <v>0.85</v>
      </c>
      <c r="G13" s="1" t="s">
        <v>16</v>
      </c>
      <c r="H13">
        <f>H11*H9+H12</f>
        <v>5.925474374591376</v>
      </c>
      <c r="I13">
        <f>I11*I9+I12</f>
        <v>5.4348053909304568</v>
      </c>
      <c r="J13">
        <f>J11*J9+J12</f>
        <v>5.0631307706452642</v>
      </c>
      <c r="K13">
        <f>K11*K9+K12</f>
        <v>3.5116277428521472</v>
      </c>
    </row>
    <row r="14" spans="1:11" x14ac:dyDescent="0.25">
      <c r="A14" s="1" t="s">
        <v>40</v>
      </c>
      <c r="B14">
        <f>3.14*B11*B12+3.14*B11^2/4</f>
        <v>5.9345999999999997</v>
      </c>
      <c r="C14">
        <f>3.14*C11*C12+3.14*C11^2/4</f>
        <v>12.477496500000001</v>
      </c>
      <c r="D14">
        <f>3.14*D11*D12+3.14*D11^2/4</f>
        <v>27.859650000000006</v>
      </c>
      <c r="E14">
        <f>3.14*E11*E12+3.14*E11^2/4</f>
        <v>27.859650000000006</v>
      </c>
      <c r="G14" s="1" t="s">
        <v>18</v>
      </c>
      <c r="H14">
        <f>H11*H9</f>
        <v>3.186298374591376</v>
      </c>
      <c r="I14">
        <f>I11*I9</f>
        <v>2.5220933909304568</v>
      </c>
      <c r="J14">
        <f>J11*J9</f>
        <v>1.9409787706452644</v>
      </c>
      <c r="K14">
        <f>K11*K9</f>
        <v>2.0752637428521474</v>
      </c>
    </row>
    <row r="15" spans="1:11" x14ac:dyDescent="0.25">
      <c r="B15" s="2" t="s">
        <v>21</v>
      </c>
      <c r="C15" s="2" t="s">
        <v>21</v>
      </c>
      <c r="D15" s="2" t="s">
        <v>21</v>
      </c>
      <c r="E15" s="2" t="s">
        <v>22</v>
      </c>
      <c r="G15" s="1" t="s">
        <v>19</v>
      </c>
      <c r="H15">
        <f>1-EXP(-H13*B9*(0.9*B11))</f>
        <v>0.27383325645782897</v>
      </c>
      <c r="I15">
        <f t="shared" ref="I15:K15" si="7">1-EXP(-I13*C9*(0.9*C11))</f>
        <v>0.34658659359381494</v>
      </c>
      <c r="J15">
        <f t="shared" si="7"/>
        <v>0.44699392952292993</v>
      </c>
      <c r="K15">
        <f t="shared" si="7"/>
        <v>0.33692053940755584</v>
      </c>
    </row>
    <row r="16" spans="1:11" x14ac:dyDescent="0.25">
      <c r="B16" s="2"/>
      <c r="C16" s="2"/>
      <c r="D16" s="2"/>
      <c r="E16" s="2"/>
      <c r="G16" s="1" t="s">
        <v>20</v>
      </c>
      <c r="H16">
        <f>1-EXP(-H14*(0.9*B9)*B11)</f>
        <v>0.15807143855426653</v>
      </c>
      <c r="I16">
        <f t="shared" ref="I16:K16" si="8">1-EXP(-I14*(0.9*C9)*C11)</f>
        <v>0.1792033717936925</v>
      </c>
      <c r="J16">
        <f t="shared" si="8"/>
        <v>0.20315453604695022</v>
      </c>
      <c r="K16">
        <f t="shared" si="8"/>
        <v>0.21557621133953131</v>
      </c>
    </row>
    <row r="17" spans="1:11" x14ac:dyDescent="0.25">
      <c r="G17" s="1" t="s">
        <v>23</v>
      </c>
      <c r="H17">
        <f>0.55*H15+0.45*H16</f>
        <v>0.2217404384012259</v>
      </c>
      <c r="I17">
        <f>0.55*I15+0.45*I16</f>
        <v>0.27126414378375985</v>
      </c>
      <c r="J17">
        <f>0.55*J15+0.45*J16</f>
        <v>0.33726620245873906</v>
      </c>
      <c r="K17">
        <f>0.1*K15+0.9*K16</f>
        <v>0.22771064414633377</v>
      </c>
    </row>
    <row r="18" spans="1:11" ht="14.4" x14ac:dyDescent="0.3">
      <c r="A18" s="1" t="s">
        <v>2</v>
      </c>
      <c r="B18">
        <v>0.8</v>
      </c>
      <c r="C18">
        <v>0.8</v>
      </c>
      <c r="D18">
        <v>0.8</v>
      </c>
      <c r="E18">
        <v>0.8</v>
      </c>
      <c r="G18" s="9" t="s">
        <v>1</v>
      </c>
      <c r="H18" s="5">
        <v>1228</v>
      </c>
      <c r="I18" s="5">
        <v>1286</v>
      </c>
      <c r="J18" s="5">
        <v>1356</v>
      </c>
      <c r="K18" s="5">
        <v>1486</v>
      </c>
    </row>
    <row r="19" spans="1:11" x14ac:dyDescent="0.25">
      <c r="A19" s="1" t="s">
        <v>32</v>
      </c>
      <c r="B19">
        <v>2700</v>
      </c>
      <c r="C19">
        <v>2700</v>
      </c>
      <c r="D19">
        <v>2700</v>
      </c>
      <c r="E19">
        <v>2700</v>
      </c>
      <c r="G19" s="1" t="s">
        <v>24</v>
      </c>
      <c r="H19">
        <f>(1/H17+1/B13-1)^(-1)</f>
        <v>0.21339033265190527</v>
      </c>
      <c r="I19">
        <f>(1/I17+1/C13-1)^(-1)</f>
        <v>0.25887190849984032</v>
      </c>
      <c r="J19">
        <f>(1/J17+1/D13-1)^(-1)</f>
        <v>0.31832053904103513</v>
      </c>
      <c r="K19">
        <f>(1/K17+1/E13-1)^(-1)</f>
        <v>0.2189137628604314</v>
      </c>
    </row>
    <row r="20" spans="1:11" x14ac:dyDescent="0.25">
      <c r="A20" s="1" t="s">
        <v>47</v>
      </c>
      <c r="B20" s="4">
        <f>B1*B18*3600/B19</f>
        <v>1066.6666666666667</v>
      </c>
      <c r="C20" s="4">
        <f t="shared" ref="C20:E20" si="9">C1*C18*3600/C19</f>
        <v>3200</v>
      </c>
      <c r="D20" s="4">
        <f t="shared" si="9"/>
        <v>10666.666666666666</v>
      </c>
      <c r="E20" s="4">
        <f t="shared" si="9"/>
        <v>10666.666666666666</v>
      </c>
      <c r="G20" s="1" t="s">
        <v>27</v>
      </c>
      <c r="H20">
        <f>B2/B10/(H3+1)+273</f>
        <v>2096.3334997346428</v>
      </c>
      <c r="I20">
        <f>C2/C10/(I3+1)+273</f>
        <v>2096.3334997346428</v>
      </c>
      <c r="J20">
        <f>D2/D10/(J3+1)+273</f>
        <v>2096.3334997346428</v>
      </c>
      <c r="K20">
        <f>E2/E10/(K3+1)+273</f>
        <v>2128.2120542992952</v>
      </c>
    </row>
    <row r="21" spans="1:11" x14ac:dyDescent="0.25">
      <c r="A21" s="1"/>
      <c r="B21" s="3"/>
      <c r="C21" s="3"/>
      <c r="D21" s="3"/>
      <c r="E21" s="3"/>
      <c r="G21" s="1" t="s">
        <v>25</v>
      </c>
      <c r="H21">
        <f>H4*(H3+1)*B10*10^11/5.67/H19/B14/H20^3</f>
        <v>0.82909350647704549</v>
      </c>
      <c r="I21">
        <f>I4*(I3+1)*C10*10^11/5.67/I19/C14/I20^3</f>
        <v>0.97516606307524023</v>
      </c>
      <c r="J21">
        <f>J4*(J3+1)*D10*10^11/5.67/J19/D14/J20^3</f>
        <v>1.1839391687719305</v>
      </c>
      <c r="K21">
        <f>K4*(K3+1)*E10*10^11/5.67/K19/E14/K20^3</f>
        <v>1.6170742640659674</v>
      </c>
    </row>
    <row r="22" spans="1:11" x14ac:dyDescent="0.25">
      <c r="A22" s="1" t="s">
        <v>41</v>
      </c>
      <c r="B22" s="3">
        <f>2.5*B11</f>
        <v>1.5</v>
      </c>
      <c r="C22" s="3">
        <f t="shared" ref="C22:E22" si="10">2.5*C11</f>
        <v>2.1749999999999998</v>
      </c>
      <c r="D22" s="3">
        <f t="shared" si="10"/>
        <v>3.25</v>
      </c>
      <c r="E22" s="3">
        <f t="shared" si="10"/>
        <v>3.25</v>
      </c>
      <c r="G22" s="1" t="s">
        <v>31</v>
      </c>
      <c r="H22">
        <f>(H18/H20)^2-H21*(1-H18/H20)</f>
        <v>-2.795868829731929E-4</v>
      </c>
      <c r="I22">
        <f>(I18/I20)^2-I21*(1-I18/I20)</f>
        <v>-6.251120191657078E-4</v>
      </c>
      <c r="J22">
        <f>(J18/J20)^2-J21*(1-J18/J20)</f>
        <v>2.91057205017764E-4</v>
      </c>
      <c r="K22">
        <f>(K18/K20)^2-K21*(1-K18/K20)</f>
        <v>-4.3317559889766155E-4</v>
      </c>
    </row>
    <row r="23" spans="1:11" ht="14.4" x14ac:dyDescent="0.3">
      <c r="A23" s="1" t="s">
        <v>43</v>
      </c>
      <c r="B23">
        <f>0.1*(3.14/6+SQRT(3)/16)*B22^2*B12</f>
        <v>0.4263208934443119</v>
      </c>
      <c r="C23">
        <f>0.1*(3.14/6+SQRT(3)/16)*C22^2*C12</f>
        <v>1.2996925337766652</v>
      </c>
      <c r="D23">
        <f t="shared" ref="D23:E23" si="11">0.1*(3.14/6+SQRT(3)/16)*D22^2*D12</f>
        <v>4.3362361245238574</v>
      </c>
      <c r="E23">
        <f t="shared" si="11"/>
        <v>4.3362361245238574</v>
      </c>
      <c r="G23" s="7" t="s">
        <v>1</v>
      </c>
      <c r="H23" s="8">
        <f>H20*(SQRT(H21^2+4*H21)-H21)/2</f>
        <v>1228.2929361253528</v>
      </c>
      <c r="I23" s="8">
        <f>I20*(SQRT(I21^2+4*I21)-I21)/2</f>
        <v>1286.5950193807194</v>
      </c>
      <c r="J23" s="8">
        <f>J20*(SQRT(J21^2+4*J21)-J21)/2</f>
        <v>1355.7537232054915</v>
      </c>
      <c r="K23" s="8">
        <f>K20*(SQRT(K21^2+4*K21)-K21)/2</f>
        <v>1486.3059000377029</v>
      </c>
    </row>
    <row r="24" spans="1:11" ht="14.4" x14ac:dyDescent="0.3">
      <c r="A24" s="1" t="s">
        <v>44</v>
      </c>
      <c r="B24">
        <f>0.8*SQRT(3)*(B22/2)*B12</f>
        <v>3.1176914536239795</v>
      </c>
      <c r="C24">
        <f t="shared" ref="C24:E24" si="12">0.8*SQRT(3)*(C22/2)*C12</f>
        <v>6.5549462812444155</v>
      </c>
      <c r="D24">
        <f t="shared" si="12"/>
        <v>14.635829323957015</v>
      </c>
      <c r="E24">
        <f t="shared" si="12"/>
        <v>14.635829323957015</v>
      </c>
      <c r="G24" s="7" t="s">
        <v>26</v>
      </c>
      <c r="H24" s="8">
        <f>H23-273</f>
        <v>955.29293612535275</v>
      </c>
      <c r="I24" s="8">
        <f t="shared" ref="I24:K24" si="13">I23-273</f>
        <v>1013.5950193807194</v>
      </c>
      <c r="J24" s="8">
        <f t="shared" si="13"/>
        <v>1082.7537232054915</v>
      </c>
      <c r="K24" s="8">
        <f t="shared" si="13"/>
        <v>1213.3059000377029</v>
      </c>
    </row>
    <row r="25" spans="1:11" x14ac:dyDescent="0.25">
      <c r="A25" s="1" t="s">
        <v>33</v>
      </c>
      <c r="B25">
        <f>B1/B23/1000</f>
        <v>2.3456509295635186</v>
      </c>
      <c r="C25">
        <f>C1/C23/1000</f>
        <v>2.3082382348404793</v>
      </c>
      <c r="D25">
        <f>D1/D23/1000</f>
        <v>2.3061474774042789</v>
      </c>
      <c r="E25">
        <f>E1/E23/1000</f>
        <v>2.3061474774042789</v>
      </c>
      <c r="G25" s="7"/>
      <c r="H25" s="6" t="s">
        <v>21</v>
      </c>
      <c r="I25" s="6" t="s">
        <v>21</v>
      </c>
      <c r="J25" s="6" t="s">
        <v>21</v>
      </c>
      <c r="K25" s="6" t="s">
        <v>22</v>
      </c>
    </row>
    <row r="26" spans="1:11" x14ac:dyDescent="0.25">
      <c r="A26" s="1" t="s">
        <v>42</v>
      </c>
      <c r="B26">
        <f>B20*1000/3600/B24</f>
        <v>95.037081348086531</v>
      </c>
      <c r="C26">
        <f t="shared" ref="C26:E26" si="14">C20*1000/3600/C24</f>
        <v>135.6058235644517</v>
      </c>
      <c r="D26">
        <f t="shared" si="14"/>
        <v>202.44585375923756</v>
      </c>
      <c r="E26">
        <f t="shared" si="14"/>
        <v>202.44585375923756</v>
      </c>
      <c r="F26" s="12" t="s">
        <v>39</v>
      </c>
      <c r="G26" s="1"/>
    </row>
    <row r="27" spans="1:11" x14ac:dyDescent="0.25">
      <c r="G27" s="1"/>
    </row>
    <row r="28" spans="1:11" x14ac:dyDescent="0.25">
      <c r="G28" s="1" t="s">
        <v>46</v>
      </c>
      <c r="H28">
        <f>H11*H9</f>
        <v>3.186298374591376</v>
      </c>
      <c r="I28">
        <f t="shared" ref="I28:K28" si="15">I11*I9</f>
        <v>2.5220933909304568</v>
      </c>
      <c r="J28">
        <f t="shared" si="15"/>
        <v>1.9409787706452644</v>
      </c>
      <c r="K28">
        <f t="shared" si="15"/>
        <v>2.0752637428521474</v>
      </c>
    </row>
    <row r="31" spans="1:11" x14ac:dyDescent="0.25">
      <c r="A31" s="1"/>
    </row>
  </sheetData>
  <pageMargins left="0" right="0" top="0.39370078740157483" bottom="0.39370078740157483" header="0" footer="0"/>
  <pageSetup paperSize="9" orientation="portrait" verticalDpi="0" r:id="rId1"/>
  <headerFooter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cols>
    <col min="1" max="1" width="8.5" customWidth="1"/>
  </cols>
  <sheetData/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cols>
    <col min="1" max="1" width="8.5" customWidth="1"/>
  </cols>
  <sheetData/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bont</dc:creator>
  <cp:lastModifiedBy>Masteruser</cp:lastModifiedBy>
  <cp:revision>9</cp:revision>
  <dcterms:created xsi:type="dcterms:W3CDTF">2014-12-18T08:37:23Z</dcterms:created>
  <dcterms:modified xsi:type="dcterms:W3CDTF">2023-05-31T12:08:38Z</dcterms:modified>
</cp:coreProperties>
</file>