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5670" activeTab="2"/>
  </bookViews>
  <sheets>
    <sheet name="ΙNTERNET 11.1" sheetId="1" r:id="rId1"/>
    <sheet name="Γράφημα1 11.2" sheetId="2" r:id="rId2"/>
    <sheet name="ΙNTERNET 11.1 με LEFT, MID" sheetId="3" r:id="rId3"/>
    <sheet name="ΙNTERNET 11. 1 απλή με LEFT " sheetId="4" r:id="rId4"/>
  </sheets>
  <definedNames>
    <definedName name="_xlnm.Print_Area" localSheetId="0">'ΙNTERNET 11.1'!$A$1:$L$25</definedName>
  </definedNames>
  <calcPr fullCalcOnLoad="1"/>
</workbook>
</file>

<file path=xl/sharedStrings.xml><?xml version="1.0" encoding="utf-8"?>
<sst xmlns="http://schemas.openxmlformats.org/spreadsheetml/2006/main" count="102" uniqueCount="36">
  <si>
    <t>(1ος,2ος,3ος)</t>
  </si>
  <si>
    <t>ONΟΜ/MO</t>
  </si>
  <si>
    <t>ΚΩΔΙΚΟΣ ΠΕΛΑΤΗ</t>
  </si>
  <si>
    <t>ΚΟΣΤΟΣ ΕΓΚΑΤ/ΣΗΣ ΕΞΟΠ/ΜΟΥ</t>
  </si>
  <si>
    <t>ΜΕΤΡΗΤΑ</t>
  </si>
  <si>
    <t>ΠΟΣΟ  ΔΑΝΕΙΟΥ</t>
  </si>
  <si>
    <t>ΔΙΑΡΚΕΙΑ ΔΑΝΕΙΟΥ (Μήνες)</t>
  </si>
  <si>
    <t>ΕΤΗΣΙO ΠOΣOΣTO ΔANEIOY</t>
  </si>
  <si>
    <t>ΜΗΝΙΑΙΑ ΔΟΣΗ</t>
  </si>
  <si>
    <t>ΩΡΕΣ ΧΡΗΣΗΣ ΜΗΝΑ</t>
  </si>
  <si>
    <t>ΜΗΝΙΑΙΟ ΚΟΣΤΟΣ ΧΡΗΣΗΣ</t>
  </si>
  <si>
    <t>ΕΚΠΤΩΣΗ ΧΡΗΣΗΣ</t>
  </si>
  <si>
    <t>ΜΗΝΙΑΙΕΣ ΥΠΟΧΡΕΩΣΕΙΣ</t>
  </si>
  <si>
    <t>ΓΕΩΡΓΙΟΥ Κ.</t>
  </si>
  <si>
    <t>ΑΛΕΞΙΟΥ Ε.</t>
  </si>
  <si>
    <t>ΝΙΚΟΛΑΟΥ Μ.</t>
  </si>
  <si>
    <t>ΔΗΜΗΤΡΙΟΥ Ν.</t>
  </si>
  <si>
    <t>ΑΝΤΩΝΙΟΥ Σ.</t>
  </si>
  <si>
    <t xml:space="preserve">ΚΩΔΙΚΟΣ ΠΟΣΟΣΤΟΥ ΔΑΝΕΙΟΥ (1ος) </t>
  </si>
  <si>
    <t>ΕΤΗΣΙΟ ΠΟΣΟΣΤΟ</t>
  </si>
  <si>
    <t>ΚΩΔΙΚΟΣ ΔΙΑΡΚΕΙΑΣ ΔΑΝΕΙΟΥ (2ος)</t>
  </si>
  <si>
    <t>ΑΤΟΜΑ ΜΕ ΔΙΑΡΚΕΙΑ ΔΑΝΕΙΟΥ &gt;=12μην.</t>
  </si>
  <si>
    <t>ΠΟΣΟ ΔΑΝΕΙΩΝ ΜΕ ΔΙΑΡΚΕΙΑ &gt;=12μην.</t>
  </si>
  <si>
    <t>ΚΩΔΙΚΟΣ ΚΟΣΤΟΥΣ (3ος)</t>
  </si>
  <si>
    <t>ΕΚΠΤΩΣΗ ΓΙΑ ΜΗΝΙΑΙΟ ΚΟΣΤΟΣ ΧΡΗΣΗΣ</t>
  </si>
  <si>
    <t>ΠΟΣΟΣΤΟ ΕΚΠΤΩΣΗΣ</t>
  </si>
  <si>
    <t>ΚΟΣΤΟΣ ΕΥΡΩ./ΩΡΑ</t>
  </si>
  <si>
    <t>ΠΟΣΟ
 ΑΠΌ</t>
  </si>
  <si>
    <t>ΠΟΣΟ 
ΕΩΣ</t>
  </si>
  <si>
    <t>&amp; ΑΝΩ</t>
  </si>
  <si>
    <t>ΕΤΗ</t>
  </si>
  <si>
    <t>ΜΗΝ ΔΟΣΗ</t>
  </si>
  <si>
    <t>ΣΥΝ ΠΟΣΟ</t>
  </si>
  <si>
    <t>ΤΟΚΟΙ</t>
  </si>
  <si>
    <t xml:space="preserve">ΑΡΧ ΠΟΣΟ </t>
  </si>
  <si>
    <t>ΕΠΙΤΟΚΙΟ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</si>
</sst>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[$€-1]"/>
    <numFmt numFmtId="181" formatCode="00000"/>
    <numFmt numFmtId="182" formatCode="0.0%"/>
    <numFmt numFmtId="183" formatCode="#,##0.0\ &quot;Δρχ&quot;;[Red]\-#,##0.0\ &quot;Δρχ&quot;"/>
    <numFmt numFmtId="184" formatCode="0.0"/>
    <numFmt numFmtId="185" formatCode="0.000"/>
    <numFmt numFmtId="186" formatCode="#,##0_ ;[Red]\-#,##0\ "/>
    <numFmt numFmtId="187" formatCode="#,##0\ [$€-1];[Red]\-#,##0\ [$€-1]"/>
  </numFmts>
  <fonts count="1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9"/>
      <name val="Arial Greek"/>
      <family val="2"/>
    </font>
    <font>
      <sz val="9"/>
      <name val="Arial Greek"/>
      <family val="2"/>
    </font>
    <font>
      <b/>
      <sz val="9.5"/>
      <name val="Arial Greek"/>
      <family val="2"/>
    </font>
    <font>
      <b/>
      <sz val="9.75"/>
      <name val="Arial Greek"/>
      <family val="2"/>
    </font>
    <font>
      <b/>
      <sz val="10.25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8"/>
      <name val="Arial Greek"/>
      <family val="0"/>
    </font>
    <font>
      <b/>
      <sz val="8"/>
      <name val="Arial Greek"/>
      <family val="0"/>
    </font>
    <font>
      <sz val="18"/>
      <name val="Arial Greek"/>
      <family val="2"/>
    </font>
    <font>
      <sz val="12"/>
      <name val="Arial Greek"/>
      <family val="2"/>
    </font>
    <font>
      <b/>
      <sz val="12"/>
      <name val="Arial Greek"/>
      <family val="0"/>
    </font>
    <font>
      <b/>
      <sz val="11"/>
      <name val="Arial Greek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gray0625"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ck"/>
      <top style="medium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thick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180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80" fontId="7" fillId="0" borderId="8" xfId="0" applyNumberFormat="1" applyFont="1" applyBorder="1" applyAlignment="1">
      <alignment horizontal="center"/>
    </xf>
    <xf numFmtId="180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6" fillId="2" borderId="20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80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9" fontId="7" fillId="0" borderId="29" xfId="0" applyNumberFormat="1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180" fontId="7" fillId="0" borderId="31" xfId="0" applyNumberFormat="1" applyFont="1" applyBorder="1" applyAlignment="1">
      <alignment/>
    </xf>
    <xf numFmtId="180" fontId="7" fillId="0" borderId="32" xfId="0" applyNumberFormat="1" applyFont="1" applyBorder="1" applyAlignment="1">
      <alignment horizontal="center"/>
    </xf>
    <xf numFmtId="180" fontId="7" fillId="0" borderId="33" xfId="0" applyNumberFormat="1" applyFont="1" applyBorder="1" applyAlignment="1">
      <alignment/>
    </xf>
    <xf numFmtId="180" fontId="7" fillId="0" borderId="34" xfId="0" applyNumberFormat="1" applyFont="1" applyBorder="1" applyAlignment="1">
      <alignment horizontal="center"/>
    </xf>
    <xf numFmtId="187" fontId="7" fillId="0" borderId="35" xfId="0" applyNumberFormat="1" applyFont="1" applyBorder="1" applyAlignment="1">
      <alignment horizontal="center"/>
    </xf>
    <xf numFmtId="187" fontId="7" fillId="0" borderId="36" xfId="0" applyNumberFormat="1" applyFont="1" applyBorder="1" applyAlignment="1">
      <alignment horizontal="center"/>
    </xf>
    <xf numFmtId="187" fontId="7" fillId="0" borderId="37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180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5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/>
    </xf>
    <xf numFmtId="0" fontId="6" fillId="2" borderId="39" xfId="0" applyFont="1" applyFill="1" applyBorder="1" applyAlignment="1">
      <alignment wrapText="1"/>
    </xf>
    <xf numFmtId="9" fontId="6" fillId="5" borderId="32" xfId="0" applyNumberFormat="1" applyFont="1" applyFill="1" applyBorder="1" applyAlignment="1">
      <alignment horizontal="center"/>
    </xf>
    <xf numFmtId="182" fontId="6" fillId="5" borderId="32" xfId="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9" fontId="6" fillId="5" borderId="27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9" fontId="6" fillId="5" borderId="34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180" fontId="6" fillId="9" borderId="41" xfId="0" applyNumberFormat="1" applyFont="1" applyFill="1" applyBorder="1" applyAlignment="1">
      <alignment horizontal="center"/>
    </xf>
    <xf numFmtId="180" fontId="6" fillId="9" borderId="25" xfId="0" applyNumberFormat="1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180" fontId="12" fillId="10" borderId="25" xfId="0" applyNumberFormat="1" applyFont="1" applyFill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180" fontId="6" fillId="0" borderId="41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8" fontId="7" fillId="0" borderId="0" xfId="0" applyNumberFormat="1" applyFont="1" applyAlignment="1">
      <alignment/>
    </xf>
    <xf numFmtId="8" fontId="7" fillId="0" borderId="0" xfId="0" applyNumberFormat="1" applyFont="1" applyAlignment="1">
      <alignment horizontal="center"/>
    </xf>
    <xf numFmtId="180" fontId="11" fillId="0" borderId="46" xfId="0" applyNumberFormat="1" applyFont="1" applyBorder="1" applyAlignment="1">
      <alignment horizontal="center"/>
    </xf>
    <xf numFmtId="180" fontId="7" fillId="0" borderId="47" xfId="0" applyNumberFormat="1" applyFont="1" applyBorder="1" applyAlignment="1">
      <alignment horizontal="center"/>
    </xf>
    <xf numFmtId="180" fontId="7" fillId="0" borderId="48" xfId="0" applyNumberFormat="1" applyFont="1" applyBorder="1" applyAlignment="1">
      <alignment horizontal="center"/>
    </xf>
    <xf numFmtId="0" fontId="6" fillId="2" borderId="49" xfId="0" applyFont="1" applyFill="1" applyBorder="1" applyAlignment="1">
      <alignment horizontal="center" wrapText="1"/>
    </xf>
    <xf numFmtId="0" fontId="11" fillId="0" borderId="32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8" fontId="16" fillId="0" borderId="0" xfId="0" applyNumberFormat="1" applyFont="1" applyAlignment="1">
      <alignment/>
    </xf>
    <xf numFmtId="0" fontId="17" fillId="11" borderId="0" xfId="0" applyFont="1" applyFill="1" applyAlignment="1">
      <alignment horizontal="center"/>
    </xf>
    <xf numFmtId="0" fontId="18" fillId="11" borderId="0" xfId="0" applyFont="1" applyFill="1" applyAlignment="1">
      <alignment/>
    </xf>
    <xf numFmtId="8" fontId="18" fillId="11" borderId="0" xfId="0" applyNumberFormat="1" applyFont="1" applyFill="1" applyAlignment="1">
      <alignment/>
    </xf>
    <xf numFmtId="9" fontId="18" fillId="11" borderId="0" xfId="0" applyNumberFormat="1" applyFont="1" applyFill="1" applyAlignment="1">
      <alignment/>
    </xf>
    <xf numFmtId="3" fontId="11" fillId="0" borderId="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wrapText="1"/>
    </xf>
    <xf numFmtId="0" fontId="6" fillId="2" borderId="59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'ΙNTERNET 11.1'!$H$4</c:f>
              <c:strCache>
                <c:ptCount val="1"/>
                <c:pt idx="0">
                  <c:v>ΜΗΝΙΑΙΑ ΔΟΣΗ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11.1'!$A$5:$A$9</c:f>
              <c:strCache/>
            </c:strRef>
          </c:cat>
          <c:val>
            <c:numRef>
              <c:f>'ΙNTERNET 11.1'!$H$5:$H$9</c:f>
              <c:numCache/>
            </c:numRef>
          </c:val>
        </c:ser>
        <c:ser>
          <c:idx val="1"/>
          <c:order val="1"/>
          <c:tx>
            <c:strRef>
              <c:f>'ΙNTERNET 11.1'!$L$4</c:f>
              <c:strCache>
                <c:ptCount val="1"/>
                <c:pt idx="0">
                  <c:v>ΜΗΝΙΑΙΕΣ ΥΠΟΧΡΕΩΣΕΙΣ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11.1'!$A$5:$A$9</c:f>
              <c:strCache/>
            </c:strRef>
          </c:cat>
          <c:val>
            <c:numRef>
              <c:f>'ΙNTERNET 11.1'!$L$5:$L$9</c:f>
              <c:numCache/>
            </c:numRef>
          </c:val>
        </c:ser>
        <c:axId val="18713905"/>
        <c:axId val="8444274"/>
      </c:barChart>
      <c:catAx>
        <c:axId val="18713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ΟΝΟΜΑΤΑ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44274"/>
        <c:crosses val="autoZero"/>
        <c:auto val="1"/>
        <c:lblOffset val="100"/>
        <c:noMultiLvlLbl val="0"/>
      </c:catAx>
      <c:valAx>
        <c:axId val="8444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3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8200"/>
        </a:gs>
        <a:gs pos="10001">
          <a:srgbClr val="FF0000"/>
        </a:gs>
        <a:gs pos="35001">
          <a:srgbClr val="BA0066"/>
        </a:gs>
        <a:gs pos="70000">
          <a:srgbClr val="66008F"/>
        </a:gs>
        <a:gs pos="100000">
          <a:srgbClr val="00008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'ΙNTERNET 11.1'!$H$4</c:f>
              <c:strCache>
                <c:ptCount val="1"/>
                <c:pt idx="0">
                  <c:v>ΜΗΝΙΑΙΑ ΔΟΣΗ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11.1'!$A$5:$A$9</c:f>
              <c:strCache>
                <c:ptCount val="5"/>
                <c:pt idx="0">
                  <c:v>ΓΕΩΡΓΙΟΥ Κ.</c:v>
                </c:pt>
                <c:pt idx="1">
                  <c:v>ΑΛΕΞΙΟΥ Ε.</c:v>
                </c:pt>
                <c:pt idx="2">
                  <c:v>ΝΙΚΟΛΑΟΥ Μ.</c:v>
                </c:pt>
                <c:pt idx="3">
                  <c:v>ΔΗΜΗΤΡΙΟΥ Ν.</c:v>
                </c:pt>
                <c:pt idx="4">
                  <c:v>ΑΝΤΩΝΙΟΥ Σ.</c:v>
                </c:pt>
              </c:strCache>
            </c:strRef>
          </c:cat>
          <c:val>
            <c:numRef>
              <c:f>'ΙNTERNET 11.1'!$H$5:$H$9</c:f>
              <c:numCache>
                <c:ptCount val="5"/>
                <c:pt idx="0">
                  <c:v>2903.037353593931</c:v>
                </c:pt>
                <c:pt idx="1">
                  <c:v>1378.2015210944694</c:v>
                </c:pt>
                <c:pt idx="2">
                  <c:v>642.7830251400142</c:v>
                </c:pt>
                <c:pt idx="3">
                  <c:v>2099.0355340616543</c:v>
                </c:pt>
                <c:pt idx="4">
                  <c:v>1103.119503787357</c:v>
                </c:pt>
              </c:numCache>
            </c:numRef>
          </c:val>
        </c:ser>
        <c:ser>
          <c:idx val="1"/>
          <c:order val="1"/>
          <c:tx>
            <c:strRef>
              <c:f>'ΙNTERNET 11.1'!$L$4</c:f>
              <c:strCache>
                <c:ptCount val="1"/>
                <c:pt idx="0">
                  <c:v>ΜΗΝΙΑΙΕΣ ΥΠΟΧΡΕΩΣΕΙΣ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11.1'!$A$5:$A$9</c:f>
              <c:strCache>
                <c:ptCount val="5"/>
                <c:pt idx="0">
                  <c:v>ΓΕΩΡΓΙΟΥ Κ.</c:v>
                </c:pt>
                <c:pt idx="1">
                  <c:v>ΑΛΕΞΙΟΥ Ε.</c:v>
                </c:pt>
                <c:pt idx="2">
                  <c:v>ΝΙΚΟΛΑΟΥ Μ.</c:v>
                </c:pt>
                <c:pt idx="3">
                  <c:v>ΔΗΜΗΤΡΙΟΥ Ν.</c:v>
                </c:pt>
                <c:pt idx="4">
                  <c:v>ΑΝΤΩΝΙΟΥ Σ.</c:v>
                </c:pt>
              </c:strCache>
            </c:strRef>
          </c:cat>
          <c:val>
            <c:numRef>
              <c:f>'ΙNTERNET 11.1'!$L$5:$L$9</c:f>
              <c:numCache>
                <c:ptCount val="5"/>
                <c:pt idx="0">
                  <c:v>3227.277353593931</c:v>
                </c:pt>
                <c:pt idx="1">
                  <c:v>1798.1055210944692</c:v>
                </c:pt>
                <c:pt idx="2">
                  <c:v>1037.4150251400142</c:v>
                </c:pt>
                <c:pt idx="3">
                  <c:v>2511.643534061654</c:v>
                </c:pt>
                <c:pt idx="4">
                  <c:v>1550.239503787357</c:v>
                </c:pt>
              </c:numCache>
            </c:numRef>
          </c:val>
        </c:ser>
        <c:axId val="12006899"/>
        <c:axId val="42250932"/>
      </c:barChart>
      <c:catAx>
        <c:axId val="1200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50932"/>
        <c:crosses val="autoZero"/>
        <c:auto val="1"/>
        <c:lblOffset val="100"/>
        <c:noMultiLvlLbl val="0"/>
      </c:catAx>
      <c:valAx>
        <c:axId val="42250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KOΣΤΟΣ - ΙΝΤΕΡΝΕΤ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75"/>
          <c:w val="0.665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'ΙNTERNET 11.1 με LEFT, MID'!$C$4</c:f>
              <c:strCache>
                <c:ptCount val="1"/>
                <c:pt idx="0">
                  <c:v>ΚΟΣΤΟΣ ΕΓΚΑΤ/ΣΗΣ ΕΞΟΠ/ΜΟΥ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 με LEFT, MID'!$A$5:$A$9</c:f>
              <c:strCache/>
            </c:strRef>
          </c:cat>
          <c:val>
            <c:numRef>
              <c:f>'ΙNTERNET 11.1 με LEFT, MID'!$C$5:$C$9</c:f>
              <c:numCache/>
            </c:numRef>
          </c:val>
        </c:ser>
        <c:ser>
          <c:idx val="1"/>
          <c:order val="1"/>
          <c:tx>
            <c:strRef>
              <c:f>'ΙNTERNET 11.1 με LEFT, MID'!$D$4</c:f>
              <c:strCache>
                <c:ptCount val="1"/>
                <c:pt idx="0">
                  <c:v>ΜΕΤΡΗΤΑ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 με LEFT, MID'!$A$5:$A$9</c:f>
              <c:strCache/>
            </c:strRef>
          </c:cat>
          <c:val>
            <c:numRef>
              <c:f>'ΙNTERNET 11.1 με LEFT, MID'!$D$5:$D$9</c:f>
              <c:numCache/>
            </c:numRef>
          </c:val>
        </c:ser>
        <c:ser>
          <c:idx val="2"/>
          <c:order val="2"/>
          <c:tx>
            <c:strRef>
              <c:f>'ΙNTERNET 11.1 με LEFT, MID'!$E$4</c:f>
              <c:strCache>
                <c:ptCount val="1"/>
                <c:pt idx="0">
                  <c:v>ΠΟΣΟ  ΔΑΝΕΙΟΥ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11.1 με LEFT, MID'!$A$5:$A$9</c:f>
              <c:strCache/>
            </c:strRef>
          </c:cat>
          <c:val>
            <c:numRef>
              <c:f>'ΙNTERNET 11.1 με LEFT, MID'!$E$5:$E$9</c:f>
              <c:numCache/>
            </c:numRef>
          </c:val>
        </c:ser>
        <c:axId val="61956021"/>
        <c:axId val="609526"/>
      </c:barChart>
      <c:catAx>
        <c:axId val="6195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ΟΝΟΜΑΤΑ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09526"/>
        <c:crosses val="autoZero"/>
        <c:auto val="1"/>
        <c:lblOffset val="100"/>
        <c:noMultiLvlLbl val="0"/>
      </c:catAx>
      <c:valAx>
        <c:axId val="609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ΠΟΣΑ ΣΕ ΔΡΧ.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5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525"/>
          <c:w val="0.21275"/>
          <c:h val="0.44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KOΣΤΟΣ - ΙΝΤΕΡΝΕΤ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5"/>
          <c:w val="0.670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'ΙNTERNET 11. 1 απλή με LEFT '!$C$4</c:f>
              <c:strCache>
                <c:ptCount val="1"/>
                <c:pt idx="0">
                  <c:v>ΚΟΣΤΟΣ ΕΓΚΑΤ/ΣΗΣ ΕΞΟΠ/ΜΟΥ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 1 απλή με LEFT '!$A$5:$A$9</c:f>
              <c:strCache/>
            </c:strRef>
          </c:cat>
          <c:val>
            <c:numRef>
              <c:f>'ΙNTERNET 11. 1 απλή με LEFT '!$C$5:$C$9</c:f>
              <c:numCache/>
            </c:numRef>
          </c:val>
        </c:ser>
        <c:ser>
          <c:idx val="1"/>
          <c:order val="1"/>
          <c:tx>
            <c:strRef>
              <c:f>'ΙNTERNET 11. 1 απλή με LEFT '!$D$4</c:f>
              <c:strCache>
                <c:ptCount val="1"/>
                <c:pt idx="0">
                  <c:v>ΜΕΤΡΗΤΑ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 1 απλή με LEFT '!$A$5:$A$9</c:f>
              <c:strCache/>
            </c:strRef>
          </c:cat>
          <c:val>
            <c:numRef>
              <c:f>'ΙNTERNET 11. 1 απλή με LEFT '!$D$5:$D$9</c:f>
              <c:numCache/>
            </c:numRef>
          </c:val>
        </c:ser>
        <c:ser>
          <c:idx val="2"/>
          <c:order val="2"/>
          <c:tx>
            <c:strRef>
              <c:f>'ΙNTERNET 11. 1 απλή με LEFT '!$E$4</c:f>
              <c:strCache>
                <c:ptCount val="1"/>
                <c:pt idx="0">
                  <c:v>ΠΟΣΟ  ΔΑΝΕΙΟΥ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'ΙNTERNET 11. 1 απλή με LEFT '!$A$5:$A$9</c:f>
              <c:strCache/>
            </c:strRef>
          </c:cat>
          <c:val>
            <c:numRef>
              <c:f>'ΙNTERNET 11. 1 απλή με LEFT '!$E$5:$E$9</c:f>
              <c:numCache/>
            </c:numRef>
          </c:val>
        </c:ser>
        <c:axId val="39619191"/>
        <c:axId val="25110584"/>
      </c:barChart>
      <c:catAx>
        <c:axId val="3961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ΟΝΟΜΑΤΑ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5110584"/>
        <c:crosses val="autoZero"/>
        <c:auto val="1"/>
        <c:lblOffset val="100"/>
        <c:noMultiLvlLbl val="0"/>
      </c:catAx>
      <c:valAx>
        <c:axId val="2511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ΠΟΣΑ ΣΕ ΔΡΧ.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19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239"/>
          <c:w val="0.21"/>
          <c:h val="0.427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 paperSize="9"/>
  <headerFooter>
    <oddHeader>&amp;L&amp;"Tahoma,Bold"&amp;8ΤΕΙ ΛΟΓΙΣΤΙΚΗΣ
ΤΜΗΜΑ ΛΟΓΙΣΤΙΚΗΣ&amp;C&amp;"Tahoma,Bold"&amp;8ΥΠΟΔΕΙΓΜΑ 11.2
ΓΡΑΦΗΜΑ ΥΠΟΧΡΕΩΣΕΩΝ&amp;R&amp;"Tahoma,Bold"&amp;8ΚΩΣΤΑΡΕΛΛΟΣ ΔΗΜΗΤΡΗΣ</oddHeader>
    <oddFooter>&amp;L&amp;"Tahoma,Bold"&amp;8ΟΝΟΜΑΤΕΠΩΝΥΜΟ ΣΠΟΥΔΑΣΤΗ&amp;R&amp;"Tahoma,Bold"&amp;8 238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10</xdr:row>
      <xdr:rowOff>161925</xdr:rowOff>
    </xdr:from>
    <xdr:ext cx="95250" cy="190500"/>
    <xdr:sp>
      <xdr:nvSpPr>
        <xdr:cNvPr id="1" name="Text 2"/>
        <xdr:cNvSpPr txBox="1">
          <a:spLocks noChangeArrowheads="1"/>
        </xdr:cNvSpPr>
      </xdr:nvSpPr>
      <xdr:spPr>
        <a:xfrm>
          <a:off x="2809875" y="2181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2</xdr:col>
      <xdr:colOff>228600</xdr:colOff>
      <xdr:row>0</xdr:row>
      <xdr:rowOff>28575</xdr:rowOff>
    </xdr:from>
    <xdr:to>
      <xdr:col>9</xdr:col>
      <xdr:colOff>295275</xdr:colOff>
      <xdr:row>3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057400" y="28575"/>
          <a:ext cx="5762625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A4A4A4"/>
            </a:gs>
          </a:gsLst>
          <a:lin ang="2700000" scaled="1"/>
        </a:gra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ΜΗΝΙΑΙΟ  ΚΟΣΤΟΣ 
ΣΥΝΔΕΣΗΣ  INTERNET</a:t>
          </a:r>
        </a:p>
      </xdr:txBody>
    </xdr:sp>
    <xdr:clientData/>
  </xdr:twoCellAnchor>
  <xdr:twoCellAnchor>
    <xdr:from>
      <xdr:col>1</xdr:col>
      <xdr:colOff>247650</xdr:colOff>
      <xdr:row>1</xdr:row>
      <xdr:rowOff>133350</xdr:rowOff>
    </xdr:from>
    <xdr:to>
      <xdr:col>1</xdr:col>
      <xdr:colOff>371475</xdr:colOff>
      <xdr:row>4</xdr:row>
      <xdr:rowOff>19050</xdr:rowOff>
    </xdr:to>
    <xdr:sp>
      <xdr:nvSpPr>
        <xdr:cNvPr id="3" name="Line 8"/>
        <xdr:cNvSpPr>
          <a:spLocks/>
        </xdr:cNvSpPr>
      </xdr:nvSpPr>
      <xdr:spPr>
        <a:xfrm flipH="1" flipV="1">
          <a:off x="1295400" y="285750"/>
          <a:ext cx="123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8</xdr:col>
      <xdr:colOff>333375</xdr:colOff>
      <xdr:row>0</xdr:row>
      <xdr:rowOff>66675</xdr:rowOff>
    </xdr:from>
    <xdr:to>
      <xdr:col>9</xdr:col>
      <xdr:colOff>114300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85725</xdr:rowOff>
    </xdr:from>
    <xdr:to>
      <xdr:col>2</xdr:col>
      <xdr:colOff>714375</xdr:colOff>
      <xdr:row>2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8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9</xdr:row>
      <xdr:rowOff>85725</xdr:rowOff>
    </xdr:from>
    <xdr:to>
      <xdr:col>11</xdr:col>
      <xdr:colOff>1104900</xdr:colOff>
      <xdr:row>24</xdr:row>
      <xdr:rowOff>38100</xdr:rowOff>
    </xdr:to>
    <xdr:graphicFrame>
      <xdr:nvGraphicFramePr>
        <xdr:cNvPr id="6" name="Chart 9"/>
        <xdr:cNvGraphicFramePr/>
      </xdr:nvGraphicFramePr>
      <xdr:xfrm>
        <a:off x="5343525" y="1933575"/>
        <a:ext cx="48006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10</xdr:row>
      <xdr:rowOff>114300</xdr:rowOff>
    </xdr:from>
    <xdr:ext cx="85725" cy="200025"/>
    <xdr:sp>
      <xdr:nvSpPr>
        <xdr:cNvPr id="1" name="Text 2"/>
        <xdr:cNvSpPr txBox="1">
          <a:spLocks noChangeArrowheads="1"/>
        </xdr:cNvSpPr>
      </xdr:nvSpPr>
      <xdr:spPr>
        <a:xfrm>
          <a:off x="331470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2</xdr:col>
      <xdr:colOff>228600</xdr:colOff>
      <xdr:row>0</xdr:row>
      <xdr:rowOff>28575</xdr:rowOff>
    </xdr:from>
    <xdr:to>
      <xdr:col>9</xdr:col>
      <xdr:colOff>295275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28575"/>
          <a:ext cx="7724775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A4A4A4"/>
            </a:gs>
          </a:gsLst>
          <a:lin ang="2700000" scaled="1"/>
        </a:gra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ΜΗΝΙΑΙΟ  ΚΟΣΤΟΣ 
ΣΥΝΔΕΣΗΣ  INTERNET</a:t>
          </a:r>
        </a:p>
      </xdr:txBody>
    </xdr:sp>
    <xdr:clientData/>
  </xdr:twoCellAnchor>
  <xdr:twoCellAnchor>
    <xdr:from>
      <xdr:col>6</xdr:col>
      <xdr:colOff>76200</xdr:colOff>
      <xdr:row>9</xdr:row>
      <xdr:rowOff>85725</xdr:rowOff>
    </xdr:from>
    <xdr:to>
      <xdr:col>11</xdr:col>
      <xdr:colOff>847725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6972300" y="2009775"/>
        <a:ext cx="52197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</xdr:row>
      <xdr:rowOff>133350</xdr:rowOff>
    </xdr:from>
    <xdr:to>
      <xdr:col>1</xdr:col>
      <xdr:colOff>371475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1295400" y="285750"/>
          <a:ext cx="123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8</xdr:col>
      <xdr:colOff>333375</xdr:colOff>
      <xdr:row>0</xdr:row>
      <xdr:rowOff>66675</xdr:rowOff>
    </xdr:from>
    <xdr:to>
      <xdr:col>9</xdr:col>
      <xdr:colOff>123825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66675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85725</xdr:rowOff>
    </xdr:from>
    <xdr:to>
      <xdr:col>2</xdr:col>
      <xdr:colOff>714375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8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10</xdr:row>
      <xdr:rowOff>114300</xdr:rowOff>
    </xdr:from>
    <xdr:ext cx="85725" cy="200025"/>
    <xdr:sp>
      <xdr:nvSpPr>
        <xdr:cNvPr id="1" name="Text 2"/>
        <xdr:cNvSpPr txBox="1">
          <a:spLocks noChangeArrowheads="1"/>
        </xdr:cNvSpPr>
      </xdr:nvSpPr>
      <xdr:spPr>
        <a:xfrm>
          <a:off x="3990975" y="2571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2</xdr:col>
      <xdr:colOff>228600</xdr:colOff>
      <xdr:row>0</xdr:row>
      <xdr:rowOff>28575</xdr:rowOff>
    </xdr:from>
    <xdr:to>
      <xdr:col>9</xdr:col>
      <xdr:colOff>295275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38425" y="28575"/>
          <a:ext cx="7991475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A4A4A4"/>
            </a:gs>
          </a:gsLst>
          <a:lin ang="2700000" scaled="1"/>
        </a:gra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ΜΗΝΙΑΙΟ  ΚΟΣΤΟΣ 
ΣΥΝΔΕΣΗΣ  INTERNET</a:t>
          </a:r>
        </a:p>
      </xdr:txBody>
    </xdr:sp>
    <xdr:clientData/>
  </xdr:twoCellAnchor>
  <xdr:twoCellAnchor>
    <xdr:from>
      <xdr:col>6</xdr:col>
      <xdr:colOff>76200</xdr:colOff>
      <xdr:row>9</xdr:row>
      <xdr:rowOff>85725</xdr:rowOff>
    </xdr:from>
    <xdr:to>
      <xdr:col>11</xdr:col>
      <xdr:colOff>847725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7762875" y="2371725"/>
        <a:ext cx="5276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</xdr:row>
      <xdr:rowOff>133350</xdr:rowOff>
    </xdr:from>
    <xdr:to>
      <xdr:col>1</xdr:col>
      <xdr:colOff>371475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1295400" y="285750"/>
          <a:ext cx="123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8</xdr:col>
      <xdr:colOff>333375</xdr:colOff>
      <xdr:row>0</xdr:row>
      <xdr:rowOff>66675</xdr:rowOff>
    </xdr:from>
    <xdr:to>
      <xdr:col>9</xdr:col>
      <xdr:colOff>123825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66675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85725</xdr:rowOff>
    </xdr:from>
    <xdr:to>
      <xdr:col>2</xdr:col>
      <xdr:colOff>704850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857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zoomScale="120" zoomScaleNormal="120" zoomScaleSheetLayoutView="100" workbookViewId="0" topLeftCell="A1">
      <selection activeCell="B6" sqref="B6"/>
    </sheetView>
  </sheetViews>
  <sheetFormatPr defaultColWidth="9.00390625" defaultRowHeight="12.75"/>
  <cols>
    <col min="1" max="1" width="13.75390625" style="1" customWidth="1"/>
    <col min="2" max="3" width="10.25390625" style="1" customWidth="1"/>
    <col min="4" max="4" width="11.125" style="1" customWidth="1"/>
    <col min="5" max="5" width="10.625" style="1" customWidth="1"/>
    <col min="6" max="6" width="12.125" style="1" bestFit="1" customWidth="1"/>
    <col min="7" max="7" width="10.75390625" style="1" customWidth="1"/>
    <col min="8" max="8" width="11.25390625" style="1" customWidth="1"/>
    <col min="9" max="9" width="8.625" style="1" customWidth="1"/>
    <col min="10" max="10" width="10.125" style="1" bestFit="1" customWidth="1"/>
    <col min="11" max="11" width="9.75390625" style="1" customWidth="1"/>
    <col min="12" max="12" width="15.75390625" style="1" customWidth="1"/>
    <col min="13" max="16384" width="8.875" style="1" customWidth="1"/>
  </cols>
  <sheetData>
    <row r="1" ht="12"/>
    <row r="2" ht="12">
      <c r="B2" s="2" t="s">
        <v>0</v>
      </c>
    </row>
    <row r="3" ht="12.75" thickBot="1"/>
    <row r="4" spans="1:12" s="85" customFormat="1" ht="43.5" customHeight="1" thickBot="1" thickTop="1">
      <c r="A4" s="84" t="s">
        <v>1</v>
      </c>
      <c r="B4" s="83" t="s">
        <v>2</v>
      </c>
      <c r="C4" s="83" t="s">
        <v>3</v>
      </c>
      <c r="D4" s="83" t="s">
        <v>4</v>
      </c>
      <c r="E4" s="83" t="s">
        <v>5</v>
      </c>
      <c r="F4" s="83" t="s">
        <v>6</v>
      </c>
      <c r="G4" s="83" t="s">
        <v>7</v>
      </c>
      <c r="H4" s="83" t="s">
        <v>8</v>
      </c>
      <c r="I4" s="83" t="s">
        <v>9</v>
      </c>
      <c r="J4" s="83" t="s">
        <v>10</v>
      </c>
      <c r="K4" s="83" t="s">
        <v>11</v>
      </c>
      <c r="L4" s="82" t="s">
        <v>12</v>
      </c>
    </row>
    <row r="5" spans="1:12" ht="12.75" thickTop="1">
      <c r="A5" s="6" t="s">
        <v>13</v>
      </c>
      <c r="B5" s="7">
        <v>355</v>
      </c>
      <c r="C5" s="8">
        <v>27000</v>
      </c>
      <c r="D5" s="8">
        <f>3500000/340.75</f>
        <v>10271.460014673514</v>
      </c>
      <c r="E5" s="8">
        <f>C5-D5</f>
        <v>16728.539985326486</v>
      </c>
      <c r="F5" s="14">
        <f>VLOOKUP(MOD(INT(B5/10),10),$C$12:$D$16,2)</f>
        <v>6</v>
      </c>
      <c r="G5" s="10">
        <f>VLOOKUP(INT(B5/100),$A$12:$E$16,2)</f>
        <v>0.14</v>
      </c>
      <c r="H5" s="49">
        <f>-PMT(G5/12,F5,E5)</f>
        <v>2903.037353593931</v>
      </c>
      <c r="I5" s="9">
        <v>193</v>
      </c>
      <c r="J5" s="11">
        <f>I5*HLOOKUP(MOD(B5,10),$B$18:$F$19,2)</f>
        <v>386</v>
      </c>
      <c r="K5" s="11">
        <f>IF(J5&lt;=$D$22,$E$22*J5,IF(J5&lt;$C$24,$E$23*J5,$E$24*J5))</f>
        <v>61.76</v>
      </c>
      <c r="L5" s="12">
        <f>J5+H5-K5</f>
        <v>3227.277353593931</v>
      </c>
    </row>
    <row r="6" spans="1:12" ht="15.75" customHeight="1">
      <c r="A6" s="6" t="s">
        <v>14</v>
      </c>
      <c r="B6" s="13">
        <v>243</v>
      </c>
      <c r="C6" s="11">
        <f>5600000/340.75</f>
        <v>16434.336023477623</v>
      </c>
      <c r="D6" s="11">
        <f>2000000/340.75</f>
        <v>5869.40572267058</v>
      </c>
      <c r="E6" s="11">
        <f>C6-D6</f>
        <v>10564.930300807042</v>
      </c>
      <c r="F6" s="14">
        <f>VLOOKUP(MOD(INT(B6/10),10),$C$12:$D$16,2)</f>
        <v>8</v>
      </c>
      <c r="G6" s="15">
        <f>VLOOKUP(INT(B6/100),$A$12:$E$16,2)</f>
        <v>0.115</v>
      </c>
      <c r="H6" s="50">
        <f>-PMT(G6/12,F6,E6)</f>
        <v>1378.2015210944694</v>
      </c>
      <c r="I6" s="14">
        <v>432</v>
      </c>
      <c r="J6" s="11">
        <f>I6*HLOOKUP(MOD(B6,10),$B$18:$F$19,2)</f>
        <v>518.4</v>
      </c>
      <c r="K6" s="11">
        <f>IF(J6&lt;=$D$22,$E$22*J6,IF(J6&lt;$C$24,$E$23*J6,$E$24*J6))</f>
        <v>98.496</v>
      </c>
      <c r="L6" s="12">
        <f>J6+H6-K6</f>
        <v>1798.1055210944692</v>
      </c>
    </row>
    <row r="7" spans="1:12" ht="12">
      <c r="A7" s="6" t="s">
        <v>15</v>
      </c>
      <c r="B7" s="13">
        <v>412</v>
      </c>
      <c r="C7" s="11">
        <f>10230000/340.75</f>
        <v>30022.010271460014</v>
      </c>
      <c r="D7" s="11">
        <f>4000000/340.75</f>
        <v>11738.81144534116</v>
      </c>
      <c r="E7" s="11">
        <f>C7-D7</f>
        <v>18283.198826118853</v>
      </c>
      <c r="F7" s="14">
        <f>VLOOKUP(MOD(INT(B7/10),10),$C$12:$D$16,2)</f>
        <v>36</v>
      </c>
      <c r="G7" s="15">
        <f>VLOOKUP(INT(B7/100),$A$12:$E$16,2)</f>
        <v>0.16</v>
      </c>
      <c r="H7" s="50">
        <f>-PMT(G7/12,F7,E7)</f>
        <v>642.7830251400142</v>
      </c>
      <c r="I7" s="14">
        <v>522</v>
      </c>
      <c r="J7" s="11">
        <f>I7*HLOOKUP(MOD(B7,10),$B$18:$F$19,2)</f>
        <v>469.8</v>
      </c>
      <c r="K7" s="11">
        <f>IF(J7&lt;=$D$22,$E$22*J7,IF(J7&lt;$C$24,$E$23*J7,$E$24*J7))</f>
        <v>75.168</v>
      </c>
      <c r="L7" s="12">
        <f>J7+H7-K7</f>
        <v>1037.4150251400142</v>
      </c>
    </row>
    <row r="8" spans="1:12" ht="12">
      <c r="A8" s="6" t="s">
        <v>16</v>
      </c>
      <c r="B8" s="13">
        <v>121</v>
      </c>
      <c r="C8" s="11">
        <f>22500000/340.75</f>
        <v>66030.81438004402</v>
      </c>
      <c r="D8" s="11">
        <f>7000000/340.75</f>
        <v>20542.920029347028</v>
      </c>
      <c r="E8" s="11">
        <f>C8-D8</f>
        <v>45487.89435069699</v>
      </c>
      <c r="F8" s="14">
        <f>VLOOKUP(MOD(INT(B8/10),10),$C$12:$D$16,2)</f>
        <v>24</v>
      </c>
      <c r="G8" s="15">
        <f>VLOOKUP(INT(B8/100),$A$12:$E$16,2)</f>
        <v>0.1</v>
      </c>
      <c r="H8" s="50">
        <f>-PMT(G8/12,F8,E8)</f>
        <v>2099.0355340616543</v>
      </c>
      <c r="I8" s="14">
        <v>614</v>
      </c>
      <c r="J8" s="11">
        <f>I8*HLOOKUP(MOD(B8,10),$B$18:$F$19,2)</f>
        <v>491.20000000000005</v>
      </c>
      <c r="K8" s="11">
        <f>IF(J8&lt;=$D$22,$E$22*J8,IF(J8&lt;$C$24,$E$23*J8,$E$24*J8))</f>
        <v>78.59200000000001</v>
      </c>
      <c r="L8" s="12">
        <f>J8+H8-K8</f>
        <v>2511.643534061654</v>
      </c>
    </row>
    <row r="9" spans="1:12" ht="12.75" thickBot="1">
      <c r="A9" s="16" t="s">
        <v>17</v>
      </c>
      <c r="B9" s="17">
        <v>534</v>
      </c>
      <c r="C9" s="18">
        <f>6300000/340.75</f>
        <v>18488.628026412327</v>
      </c>
      <c r="D9" s="18">
        <f>2200000/340.75</f>
        <v>6456.346294937637</v>
      </c>
      <c r="E9" s="18">
        <f>C9-D9</f>
        <v>12032.28173147469</v>
      </c>
      <c r="F9" s="19">
        <f>VLOOKUP(MOD(INT(B9/10),10),$C$12:$D$16,2)</f>
        <v>12</v>
      </c>
      <c r="G9" s="20">
        <f>VLOOKUP(INT(B9/100),$A$12:$E$16,2)</f>
        <v>0.18</v>
      </c>
      <c r="H9" s="51">
        <f>-PMT(G9/12,F9,E9)</f>
        <v>1103.119503787357</v>
      </c>
      <c r="I9" s="19">
        <v>368</v>
      </c>
      <c r="J9" s="18">
        <f>I9*HLOOKUP(MOD(B9,10),$B$18:$F$19,2)</f>
        <v>552</v>
      </c>
      <c r="K9" s="11">
        <f>IF(J9&lt;=$D$22,$E$22*J9,IF(J9&lt;$C$24,$E$23*J9,$E$24*J9))</f>
        <v>104.88</v>
      </c>
      <c r="L9" s="21">
        <f>J9+H9-K9</f>
        <v>1550.239503787357</v>
      </c>
    </row>
    <row r="10" ht="13.5" thickBot="1" thickTop="1"/>
    <row r="11" spans="1:6" s="85" customFormat="1" ht="49.5" thickBot="1" thickTop="1">
      <c r="A11" s="86" t="s">
        <v>18</v>
      </c>
      <c r="B11" s="87" t="s">
        <v>19</v>
      </c>
      <c r="C11" s="86" t="s">
        <v>20</v>
      </c>
      <c r="D11" s="88" t="s">
        <v>6</v>
      </c>
      <c r="E11" s="89" t="s">
        <v>21</v>
      </c>
      <c r="F11" s="90" t="s">
        <v>22</v>
      </c>
    </row>
    <row r="12" spans="1:6" ht="12.75" thickBot="1">
      <c r="A12" s="24">
        <v>1</v>
      </c>
      <c r="B12" s="25">
        <v>0.1</v>
      </c>
      <c r="C12" s="24">
        <v>1</v>
      </c>
      <c r="D12" s="26">
        <v>36</v>
      </c>
      <c r="E12" s="27">
        <f>COUNTIF(F5:F9,"&gt;=12")</f>
        <v>3</v>
      </c>
      <c r="F12" s="39">
        <f>SUMIF(F5:F9,"&gt;=12",E5:E9)</f>
        <v>75803.37490829053</v>
      </c>
    </row>
    <row r="13" spans="1:4" ht="12.75" thickTop="1">
      <c r="A13" s="24">
        <v>2</v>
      </c>
      <c r="B13" s="28">
        <v>0.115</v>
      </c>
      <c r="C13" s="24">
        <v>2</v>
      </c>
      <c r="D13" s="29">
        <v>24</v>
      </c>
    </row>
    <row r="14" spans="1:4" ht="12">
      <c r="A14" s="24">
        <v>3</v>
      </c>
      <c r="B14" s="25">
        <v>0.14</v>
      </c>
      <c r="C14" s="24">
        <v>3</v>
      </c>
      <c r="D14" s="29">
        <v>12</v>
      </c>
    </row>
    <row r="15" spans="1:4" ht="12">
      <c r="A15" s="24">
        <v>4</v>
      </c>
      <c r="B15" s="25">
        <v>0.16</v>
      </c>
      <c r="C15" s="24">
        <v>4</v>
      </c>
      <c r="D15" s="29">
        <v>8</v>
      </c>
    </row>
    <row r="16" spans="1:4" ht="12.75" thickBot="1">
      <c r="A16" s="30">
        <v>5</v>
      </c>
      <c r="B16" s="31">
        <v>0.18</v>
      </c>
      <c r="C16" s="30">
        <v>5</v>
      </c>
      <c r="D16" s="32">
        <v>6</v>
      </c>
    </row>
    <row r="17" spans="1:5" ht="13.5" thickBot="1" thickTop="1">
      <c r="A17" s="33"/>
      <c r="B17" s="34"/>
      <c r="C17" s="33"/>
      <c r="D17" s="33"/>
      <c r="E17" s="33"/>
    </row>
    <row r="18" spans="1:6" s="85" customFormat="1" ht="25.5" thickBot="1" thickTop="1">
      <c r="A18" s="89" t="s">
        <v>23</v>
      </c>
      <c r="B18" s="91">
        <v>1</v>
      </c>
      <c r="C18" s="91">
        <v>2</v>
      </c>
      <c r="D18" s="91">
        <v>3</v>
      </c>
      <c r="E18" s="91">
        <v>4</v>
      </c>
      <c r="F18" s="92">
        <v>5</v>
      </c>
    </row>
    <row r="19" spans="1:6" s="85" customFormat="1" ht="24.75" thickBot="1">
      <c r="A19" s="93" t="s">
        <v>26</v>
      </c>
      <c r="B19" s="94">
        <v>0.8</v>
      </c>
      <c r="C19" s="94">
        <v>0.9</v>
      </c>
      <c r="D19" s="94">
        <v>1.2</v>
      </c>
      <c r="E19" s="94">
        <v>1.5</v>
      </c>
      <c r="F19" s="95">
        <v>2</v>
      </c>
    </row>
    <row r="20" ht="13.5" thickBot="1" thickTop="1"/>
    <row r="21" spans="1:5" s="85" customFormat="1" ht="24.75" thickTop="1">
      <c r="A21" s="126" t="s">
        <v>24</v>
      </c>
      <c r="B21" s="127"/>
      <c r="C21" s="96" t="s">
        <v>27</v>
      </c>
      <c r="D21" s="97" t="s">
        <v>28</v>
      </c>
      <c r="E21" s="98" t="s">
        <v>25</v>
      </c>
    </row>
    <row r="22" spans="1:5" ht="12">
      <c r="A22" s="36"/>
      <c r="B22" s="33"/>
      <c r="C22" s="45">
        <v>0</v>
      </c>
      <c r="D22" s="46">
        <v>250</v>
      </c>
      <c r="E22" s="43">
        <v>0.12</v>
      </c>
    </row>
    <row r="23" spans="1:5" ht="12">
      <c r="A23" s="36"/>
      <c r="B23" s="33"/>
      <c r="C23" s="45">
        <v>251</v>
      </c>
      <c r="D23" s="46">
        <v>500</v>
      </c>
      <c r="E23" s="43">
        <v>0.16</v>
      </c>
    </row>
    <row r="24" spans="1:5" ht="12.75" thickBot="1">
      <c r="A24" s="37"/>
      <c r="B24" s="38"/>
      <c r="C24" s="47">
        <v>501</v>
      </c>
      <c r="D24" s="48" t="s">
        <v>29</v>
      </c>
      <c r="E24" s="44">
        <v>0.19</v>
      </c>
    </row>
    <row r="25" spans="1:5" ht="30.75" customHeight="1" thickTop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91" ht="12">
      <c r="C91" s="1">
        <v>22</v>
      </c>
    </row>
  </sheetData>
  <mergeCells count="1">
    <mergeCell ref="A21:B21"/>
  </mergeCells>
  <printOptions headings="1" horizontalCentered="1" verticalCentered="1"/>
  <pageMargins left="0.7480314960629921" right="0.4724409448818898" top="0.4330708661417323" bottom="0.5118110236220472" header="0.2755905511811024" footer="0.2755905511811024"/>
  <pageSetup horizontalDpi="300" verticalDpi="300" orientation="landscape" paperSize="9" scale="90" r:id="rId2"/>
  <headerFooter alignWithMargins="0">
    <oddHeader>&amp;L&amp;P από &amp;N   &amp;D  &amp;T  
&amp;Z&amp;F  &amp;F  &amp;A   &amp;R&amp;"Tahoma,Κανονικά"&amp;8ΚΩΣΤΑΡΕΛΛΟΣ ΔΗΜΗΤΡΗΣ</oddHeader>
    <oddFooter>&amp;L&amp;"Tahoma,Κανονικά"&amp;8ΟΝΟΜΑΤΕΠΩΝΥΜΟ ΣΠΟΥΔΑΣΤΗ&amp;R&amp;"Tahoma,Κανονικά"&amp;8 237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F41" sqref="F41"/>
    </sheetView>
  </sheetViews>
  <sheetFormatPr defaultColWidth="9.00390625" defaultRowHeight="12.75"/>
  <cols>
    <col min="1" max="1" width="13.75390625" style="1" customWidth="1"/>
    <col min="2" max="2" width="10.25390625" style="1" customWidth="1"/>
    <col min="3" max="3" width="16.625" style="1" bestFit="1" customWidth="1"/>
    <col min="4" max="5" width="16.375" style="1" bestFit="1" customWidth="1"/>
    <col min="6" max="6" width="17.125" style="1" customWidth="1"/>
    <col min="7" max="7" width="10.75390625" style="1" customWidth="1"/>
    <col min="8" max="8" width="14.625" style="1" bestFit="1" customWidth="1"/>
    <col min="9" max="9" width="8.625" style="1" customWidth="1"/>
    <col min="10" max="10" width="12.25390625" style="1" bestFit="1" customWidth="1"/>
    <col min="11" max="11" width="12.125" style="1" bestFit="1" customWidth="1"/>
    <col min="12" max="12" width="14.875" style="1" customWidth="1"/>
    <col min="13" max="16384" width="8.875" style="1" customWidth="1"/>
  </cols>
  <sheetData>
    <row r="1" ht="12"/>
    <row r="2" ht="12">
      <c r="B2" s="2" t="s">
        <v>0</v>
      </c>
    </row>
    <row r="3" ht="12.75" thickBot="1"/>
    <row r="4" spans="1:12" ht="43.5" customHeight="1" thickBot="1" thickTop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</row>
    <row r="5" spans="1:12" s="56" customFormat="1" ht="18.75" thickTop="1">
      <c r="A5" s="52" t="s">
        <v>13</v>
      </c>
      <c r="B5" s="53">
        <v>355</v>
      </c>
      <c r="C5" s="54">
        <v>27000</v>
      </c>
      <c r="D5" s="54">
        <f>3500000/340.75</f>
        <v>10271.460014673514</v>
      </c>
      <c r="E5" s="54">
        <f>C5-D5</f>
        <v>16728.539985326486</v>
      </c>
      <c r="F5" s="53">
        <f>VLOOKUP(VALUE(MID(B5,2,1)),C$12:$D$16,2)</f>
        <v>6</v>
      </c>
      <c r="G5" s="79">
        <f>VLOOKUP(VALUE(LEFT(B5)),$A$12:$B$16,2)</f>
        <v>0.14</v>
      </c>
      <c r="H5" s="54">
        <f>-PMT(G5/12,F5,E5)</f>
        <v>2903.037353593931</v>
      </c>
      <c r="I5" s="55">
        <v>193</v>
      </c>
      <c r="J5" s="54">
        <f>I5*HLOOKUP(VALUE(RIGHT(B5)),$B$18:$F$19,2)</f>
        <v>386</v>
      </c>
      <c r="K5" s="54">
        <f>IF(J5&lt;=$D$22,$E$22*J5,IF(J5&lt;$C$24,$E$23*J5,$E$24*J5))</f>
        <v>61.76</v>
      </c>
      <c r="L5" s="54">
        <f>J5+H5-K5</f>
        <v>3227.277353593931</v>
      </c>
    </row>
    <row r="6" spans="1:12" ht="15.75" customHeight="1">
      <c r="A6" s="6" t="s">
        <v>14</v>
      </c>
      <c r="B6" s="13">
        <v>243</v>
      </c>
      <c r="C6" s="11">
        <f>5600000/340.75</f>
        <v>16434.336023477623</v>
      </c>
      <c r="D6" s="11">
        <f>2000000/340.75</f>
        <v>5869.40572267058</v>
      </c>
      <c r="E6" s="11">
        <f>C6-D6</f>
        <v>10564.930300807042</v>
      </c>
      <c r="F6" s="13">
        <f>VLOOKUP(VALUE(MID(B6,2,1)),C$12:$D$16,2)</f>
        <v>8</v>
      </c>
      <c r="G6" s="80">
        <f>VLOOKUP(VALUE(LEFT(B6)),$A$12:$B$16,2)</f>
        <v>0.115</v>
      </c>
      <c r="H6" s="11">
        <f>-PMT(G6/12,F6,E6)</f>
        <v>1378.2015210944694</v>
      </c>
      <c r="I6" s="14">
        <v>432</v>
      </c>
      <c r="J6" s="11">
        <f>I6*HLOOKUP(VALUE(RIGHT(B6)),$B$18:$F$19,2)</f>
        <v>518.4</v>
      </c>
      <c r="K6" s="11">
        <f>IF(J6&lt;=$D$22,$E$22*J6,IF(J6&lt;$C$24,$E$23*J6,$E$24*J6))</f>
        <v>98.496</v>
      </c>
      <c r="L6" s="11">
        <f>J6+H6-K6</f>
        <v>1798.1055210944692</v>
      </c>
    </row>
    <row r="7" spans="1:12" ht="12">
      <c r="A7" s="6" t="s">
        <v>15</v>
      </c>
      <c r="B7" s="13">
        <v>412</v>
      </c>
      <c r="C7" s="11">
        <f>10230000/340.75</f>
        <v>30022.010271460014</v>
      </c>
      <c r="D7" s="11">
        <f>4000000/340.75</f>
        <v>11738.81144534116</v>
      </c>
      <c r="E7" s="11">
        <f>C7-D7</f>
        <v>18283.198826118853</v>
      </c>
      <c r="F7" s="13">
        <f>VLOOKUP(VALUE(MID(B7,2,1)),C$12:$D$16,2)</f>
        <v>36</v>
      </c>
      <c r="G7" s="80">
        <f>VLOOKUP(VALUE(LEFT(B7)),$A$12:$B$16,2)</f>
        <v>0.16</v>
      </c>
      <c r="H7" s="11">
        <f>-PMT(G7/12,F7,E7)</f>
        <v>642.7830251400142</v>
      </c>
      <c r="I7" s="14">
        <v>522</v>
      </c>
      <c r="J7" s="11">
        <f>I7*HLOOKUP(VALUE(RIGHT(B7)),$B$18:$F$19,2)</f>
        <v>469.8</v>
      </c>
      <c r="K7" s="11">
        <f>IF(J7&lt;=$D$22,$E$22*J7,IF(J7&lt;$C$24,$E$23*J7,$E$24*J7))</f>
        <v>75.168</v>
      </c>
      <c r="L7" s="11">
        <f>J7+H7-K7</f>
        <v>1037.4150251400142</v>
      </c>
    </row>
    <row r="8" spans="1:12" ht="12">
      <c r="A8" s="6" t="s">
        <v>16</v>
      </c>
      <c r="B8" s="13">
        <v>121</v>
      </c>
      <c r="C8" s="11">
        <f>22500000/340.75</f>
        <v>66030.81438004402</v>
      </c>
      <c r="D8" s="11">
        <f>7000000/340.75</f>
        <v>20542.920029347028</v>
      </c>
      <c r="E8" s="11">
        <f>C8-D8</f>
        <v>45487.89435069699</v>
      </c>
      <c r="F8" s="13">
        <f>VLOOKUP(VALUE(MID(B8,2,1)),C$12:$D$16,2)</f>
        <v>24</v>
      </c>
      <c r="G8" s="80">
        <f>VLOOKUP(VALUE(LEFT(B8)),$A$12:$B$16,2)</f>
        <v>0.1</v>
      </c>
      <c r="H8" s="11">
        <f>-PMT(G8/12,F8,E8)</f>
        <v>2099.0355340616543</v>
      </c>
      <c r="I8" s="14">
        <v>614</v>
      </c>
      <c r="J8" s="11">
        <f>I8*HLOOKUP(VALUE(RIGHT(B8)),$B$18:$F$19,2)</f>
        <v>491.20000000000005</v>
      </c>
      <c r="K8" s="11">
        <f>IF(J8&lt;=$D$22,$E$22*J8,IF(J8&lt;$C$24,$E$23*J8,$E$24*J8))</f>
        <v>78.59200000000001</v>
      </c>
      <c r="L8" s="11">
        <f>J8+H8-K8</f>
        <v>2511.643534061654</v>
      </c>
    </row>
    <row r="9" spans="1:12" ht="12.75" thickBot="1">
      <c r="A9" s="16" t="s">
        <v>17</v>
      </c>
      <c r="B9" s="17">
        <v>534</v>
      </c>
      <c r="C9" s="18">
        <f>6300000/340.75</f>
        <v>18488.628026412327</v>
      </c>
      <c r="D9" s="18">
        <f>2200000/340.75</f>
        <v>6456.346294937637</v>
      </c>
      <c r="E9" s="18">
        <f>C9-D9</f>
        <v>12032.28173147469</v>
      </c>
      <c r="F9" s="17">
        <f>VLOOKUP(VALUE(MID(B9,2,1)),C$12:$D$16,2)</f>
        <v>12</v>
      </c>
      <c r="G9" s="81">
        <f>VLOOKUP(VALUE(LEFT(B9)),$A$12:$B$16,2)</f>
        <v>0.18</v>
      </c>
      <c r="H9" s="18">
        <f>-PMT(G9/12,F9,E9)</f>
        <v>1103.119503787357</v>
      </c>
      <c r="I9" s="19">
        <v>368</v>
      </c>
      <c r="J9" s="18">
        <f>I9*HLOOKUP(VALUE(RIGHT(B9)),$B$18:$F$19,2)</f>
        <v>552</v>
      </c>
      <c r="K9" s="18">
        <f>IF(J9&lt;=$D$22,$E$22*J9,IF(J9&lt;$C$24,$E$23*J9,$E$24*J9))</f>
        <v>104.88</v>
      </c>
      <c r="L9" s="18">
        <f>J9+H9-K9</f>
        <v>1550.239503787357</v>
      </c>
    </row>
    <row r="10" ht="13.5" thickBot="1" thickTop="1"/>
    <row r="11" spans="1:6" ht="37.5" thickBot="1" thickTop="1">
      <c r="A11" s="57" t="s">
        <v>18</v>
      </c>
      <c r="B11" s="60" t="s">
        <v>19</v>
      </c>
      <c r="C11" s="57" t="s">
        <v>20</v>
      </c>
      <c r="D11" s="58" t="s">
        <v>6</v>
      </c>
      <c r="E11" s="22" t="s">
        <v>21</v>
      </c>
      <c r="F11" s="23" t="s">
        <v>22</v>
      </c>
    </row>
    <row r="12" spans="1:6" ht="19.5" thickBot="1" thickTop="1">
      <c r="A12" s="63">
        <v>1</v>
      </c>
      <c r="B12" s="64">
        <v>0.1</v>
      </c>
      <c r="C12" s="65">
        <v>1</v>
      </c>
      <c r="D12" s="66">
        <v>36</v>
      </c>
      <c r="E12" s="77">
        <f>COUNTIF(F5:F9,"&gt;=12")</f>
        <v>3</v>
      </c>
      <c r="F12" s="78">
        <f>SUMIF(F5:F9,"&gt;=12",E5:E9)</f>
        <v>75803.37490829053</v>
      </c>
    </row>
    <row r="13" spans="1:4" ht="12.75" thickTop="1">
      <c r="A13" s="67">
        <v>2</v>
      </c>
      <c r="B13" s="62">
        <v>0.115</v>
      </c>
      <c r="C13" s="59">
        <v>2</v>
      </c>
      <c r="D13" s="68">
        <v>24</v>
      </c>
    </row>
    <row r="14" spans="1:4" ht="12">
      <c r="A14" s="67">
        <v>3</v>
      </c>
      <c r="B14" s="61">
        <v>0.14</v>
      </c>
      <c r="C14" s="59">
        <v>3</v>
      </c>
      <c r="D14" s="68">
        <v>12</v>
      </c>
    </row>
    <row r="15" spans="1:4" ht="12">
      <c r="A15" s="67">
        <v>4</v>
      </c>
      <c r="B15" s="61">
        <v>0.16</v>
      </c>
      <c r="C15" s="59">
        <v>4</v>
      </c>
      <c r="D15" s="68">
        <v>8</v>
      </c>
    </row>
    <row r="16" spans="1:4" ht="12.75" thickBot="1">
      <c r="A16" s="69">
        <v>5</v>
      </c>
      <c r="B16" s="70">
        <v>0.18</v>
      </c>
      <c r="C16" s="71">
        <v>5</v>
      </c>
      <c r="D16" s="72">
        <v>6</v>
      </c>
    </row>
    <row r="17" spans="1:5" ht="13.5" thickBot="1" thickTop="1">
      <c r="A17" s="33"/>
      <c r="B17" s="34"/>
      <c r="C17" s="33"/>
      <c r="D17" s="33"/>
      <c r="E17" s="33"/>
    </row>
    <row r="18" spans="1:6" ht="25.5" thickBot="1" thickTop="1">
      <c r="A18" s="22" t="s">
        <v>23</v>
      </c>
      <c r="B18" s="73">
        <v>1</v>
      </c>
      <c r="C18" s="73">
        <v>2</v>
      </c>
      <c r="D18" s="73">
        <v>3</v>
      </c>
      <c r="E18" s="73">
        <v>4</v>
      </c>
      <c r="F18" s="74">
        <v>5</v>
      </c>
    </row>
    <row r="19" spans="1:6" ht="24.75" thickBot="1">
      <c r="A19" s="35" t="s">
        <v>26</v>
      </c>
      <c r="B19" s="75">
        <v>0.8</v>
      </c>
      <c r="C19" s="75">
        <v>0.9</v>
      </c>
      <c r="D19" s="75">
        <v>1.2</v>
      </c>
      <c r="E19" s="75">
        <v>1.5</v>
      </c>
      <c r="F19" s="76">
        <v>2</v>
      </c>
    </row>
    <row r="20" ht="13.5" thickBot="1" thickTop="1"/>
    <row r="21" spans="1:5" ht="24.75" thickTop="1">
      <c r="A21" s="128" t="s">
        <v>24</v>
      </c>
      <c r="B21" s="129"/>
      <c r="C21" s="40" t="s">
        <v>27</v>
      </c>
      <c r="D21" s="41" t="s">
        <v>28</v>
      </c>
      <c r="E21" s="42" t="s">
        <v>25</v>
      </c>
    </row>
    <row r="22" spans="1:5" ht="12">
      <c r="A22" s="36"/>
      <c r="B22" s="33"/>
      <c r="C22" s="45">
        <v>0</v>
      </c>
      <c r="D22" s="46">
        <v>250</v>
      </c>
      <c r="E22" s="43">
        <v>0.12</v>
      </c>
    </row>
    <row r="23" spans="1:5" ht="12">
      <c r="A23" s="36"/>
      <c r="B23" s="33"/>
      <c r="C23" s="45">
        <v>251</v>
      </c>
      <c r="D23" s="46">
        <v>500</v>
      </c>
      <c r="E23" s="43">
        <v>0.16</v>
      </c>
    </row>
    <row r="24" spans="1:5" ht="12.75" thickBot="1">
      <c r="A24" s="37"/>
      <c r="B24" s="38"/>
      <c r="C24" s="47">
        <v>501</v>
      </c>
      <c r="D24" s="48" t="s">
        <v>29</v>
      </c>
      <c r="E24" s="44">
        <v>0.19</v>
      </c>
    </row>
    <row r="25" spans="1:5" ht="30.75" customHeight="1" thickTop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8" ht="12.75">
      <c r="A27"/>
      <c r="B27"/>
      <c r="C27"/>
      <c r="D27"/>
      <c r="E27"/>
      <c r="G27" s="100"/>
      <c r="H27" s="100"/>
    </row>
    <row r="28" spans="1:8" ht="12.75">
      <c r="A28"/>
      <c r="B28"/>
      <c r="C28"/>
      <c r="D28"/>
      <c r="E28"/>
      <c r="G28" s="100"/>
      <c r="H28" s="99"/>
    </row>
    <row r="29" spans="1:5" ht="12.75">
      <c r="A29"/>
      <c r="B29"/>
      <c r="C29"/>
      <c r="D29"/>
      <c r="E29"/>
    </row>
  </sheetData>
  <mergeCells count="1">
    <mergeCell ref="A21:B21"/>
  </mergeCells>
  <printOptions gridLines="1" headings="1" horizontalCentered="1" verticalCentered="1"/>
  <pageMargins left="0.39" right="0.59" top="0.58" bottom="0.61" header="0.29" footer="0.28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11.1
ΣΥΝΔΕΣΗ INTERNET&amp;R&amp;"Tahoma,Bold"&amp;8ΚΩΣΤΑΡΕΛΛΟΣ ΔΗΜΗΤΡΗΣ</oddHeader>
    <oddFooter>&amp;L&amp;"Tahoma,Bold"&amp;8ΟΝΟΜΑΤΕΠΩΝΥΜΟ ΣΠΟΥΔΑΣΤΗ&amp;R&amp;"Tahoma,Bold"&amp;8 237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F5" sqref="F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4" width="17.875" style="1" bestFit="1" customWidth="1"/>
    <col min="5" max="5" width="16.375" style="1" bestFit="1" customWidth="1"/>
    <col min="6" max="6" width="17.125" style="1" customWidth="1"/>
    <col min="7" max="7" width="10.75390625" style="1" customWidth="1"/>
    <col min="8" max="8" width="15.375" style="1" bestFit="1" customWidth="1"/>
    <col min="9" max="9" width="8.625" style="1" customWidth="1"/>
    <col min="10" max="10" width="12.25390625" style="1" bestFit="1" customWidth="1"/>
    <col min="11" max="11" width="12.125" style="1" bestFit="1" customWidth="1"/>
    <col min="12" max="12" width="15.375" style="1" bestFit="1" customWidth="1"/>
    <col min="13" max="14" width="10.125" style="1" customWidth="1"/>
    <col min="15" max="16384" width="8.875" style="1" customWidth="1"/>
  </cols>
  <sheetData>
    <row r="1" ht="12"/>
    <row r="2" ht="12">
      <c r="B2" s="2" t="s">
        <v>0</v>
      </c>
    </row>
    <row r="3" ht="12.75" thickBot="1"/>
    <row r="4" spans="1:15" ht="49.5" customHeight="1" thickBot="1" thickTop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57" t="s">
        <v>18</v>
      </c>
      <c r="N4" s="57" t="s">
        <v>20</v>
      </c>
      <c r="O4" s="104" t="s">
        <v>23</v>
      </c>
    </row>
    <row r="5" spans="1:15" s="56" customFormat="1" ht="19.5" thickBot="1" thickTop="1">
      <c r="A5" s="52" t="s">
        <v>13</v>
      </c>
      <c r="B5" s="53">
        <v>355</v>
      </c>
      <c r="C5" s="54">
        <v>27000</v>
      </c>
      <c r="D5" s="54">
        <f>3500000/340.75</f>
        <v>10271.460014673514</v>
      </c>
      <c r="E5" s="54">
        <f>C5-D5</f>
        <v>16728.539985326486</v>
      </c>
      <c r="F5" s="123">
        <f>VLOOKUP(N5,$C$12:$D$16,2)</f>
        <v>6</v>
      </c>
      <c r="G5" s="79">
        <f>VLOOKUP(M5,$A$12:$B$16,2)</f>
        <v>0.14</v>
      </c>
      <c r="H5" s="54">
        <f>PMT(G5/12,F5,E5)</f>
        <v>-2903.037353593931</v>
      </c>
      <c r="I5" s="55">
        <v>193</v>
      </c>
      <c r="J5" s="54">
        <f>I5*HLOOKUP(VALUE(RIGHT(B5)),$B$18:$F$19,2)</f>
        <v>386</v>
      </c>
      <c r="K5" s="54">
        <f>IF(J5&lt;=$D$22,$E$22*J5,IF(J5&lt;=$D$23,$E$23*J5,$E$24*J5))</f>
        <v>61.76</v>
      </c>
      <c r="L5" s="101">
        <f>J5+H5-K5</f>
        <v>-2578.7973535939313</v>
      </c>
      <c r="M5" s="106">
        <f>VALUE(LEFT(B5))</f>
        <v>3</v>
      </c>
      <c r="N5" s="107">
        <f>VALUE(MID(B5,2,1))</f>
        <v>5</v>
      </c>
      <c r="O5" s="108">
        <f>VALUE(RIGHT(B5))</f>
        <v>5</v>
      </c>
    </row>
    <row r="6" spans="1:15" ht="15.75" customHeight="1" thickBot="1" thickTop="1">
      <c r="A6" s="6" t="s">
        <v>14</v>
      </c>
      <c r="B6" s="13">
        <v>243</v>
      </c>
      <c r="C6" s="11">
        <f>5600000/340.75</f>
        <v>16434.336023477623</v>
      </c>
      <c r="D6" s="11">
        <f>2000000/340.75</f>
        <v>5869.40572267058</v>
      </c>
      <c r="E6" s="11">
        <f>C6-D6</f>
        <v>10564.930300807042</v>
      </c>
      <c r="F6" s="124">
        <f>VLOOKUP(N6,$C$12:$D$16,2)</f>
        <v>8</v>
      </c>
      <c r="G6" s="80">
        <f>VLOOKUP(VALUE(LEFT(B6)),$A$12:$B$16,2)</f>
        <v>0.115</v>
      </c>
      <c r="H6" s="54">
        <f>-PMT(G6/12,F6,E6)</f>
        <v>1378.2015210944694</v>
      </c>
      <c r="I6" s="14">
        <v>432</v>
      </c>
      <c r="J6" s="11">
        <f>I6*HLOOKUP(VALUE(RIGHT(B6)),$B$18:$F$19,2)</f>
        <v>518.4</v>
      </c>
      <c r="K6" s="11">
        <f>IF(J6&lt;=$D$22,$E$22*J6,IF(J6&lt;$C$24,$E$23*J6,$E$24*J6))</f>
        <v>98.496</v>
      </c>
      <c r="L6" s="102">
        <f>J6+H6-K6</f>
        <v>1798.1055210944692</v>
      </c>
      <c r="M6" s="109">
        <f>VALUE(LEFT(B6))</f>
        <v>2</v>
      </c>
      <c r="N6" s="105">
        <f>VALUE(MID(B6,2,1))</f>
        <v>4</v>
      </c>
      <c r="O6" s="110">
        <f>VALUE(RIGHT(B6))</f>
        <v>3</v>
      </c>
    </row>
    <row r="7" spans="1:15" ht="19.5" thickBot="1" thickTop="1">
      <c r="A7" s="6" t="s">
        <v>15</v>
      </c>
      <c r="B7" s="13">
        <v>412</v>
      </c>
      <c r="C7" s="11">
        <f>10230000/340.75</f>
        <v>30022.010271460014</v>
      </c>
      <c r="D7" s="11">
        <f>4000000/340.75</f>
        <v>11738.81144534116</v>
      </c>
      <c r="E7" s="11">
        <f>C7-D7</f>
        <v>18283.198826118853</v>
      </c>
      <c r="F7" s="124">
        <f>VLOOKUP(N7,$C$12:$D$16,2)</f>
        <v>36</v>
      </c>
      <c r="G7" s="80">
        <f>VLOOKUP(VALUE(LEFT(B7)),$A$12:$B$16,2)</f>
        <v>0.16</v>
      </c>
      <c r="H7" s="54">
        <f>-PMT(G7/12,F7,E7)</f>
        <v>642.7830251400142</v>
      </c>
      <c r="I7" s="14">
        <v>522</v>
      </c>
      <c r="J7" s="11">
        <f>I7*HLOOKUP(VALUE(RIGHT(B7)),$B$18:$F$19,2)</f>
        <v>469.8</v>
      </c>
      <c r="K7" s="11">
        <f>IF(J7&lt;=$D$22,$E$22*J7,IF(J7&lt;$C$24,$E$23*J7,$E$24*J7))</f>
        <v>75.168</v>
      </c>
      <c r="L7" s="102">
        <f>J7+H7-K7</f>
        <v>1037.4150251400142</v>
      </c>
      <c r="M7" s="109">
        <f>VALUE(LEFT(B7))</f>
        <v>4</v>
      </c>
      <c r="N7" s="105">
        <f>VALUE(MID(B7,2,1))</f>
        <v>1</v>
      </c>
      <c r="O7" s="110">
        <f>VALUE(RIGHT(B7))</f>
        <v>2</v>
      </c>
    </row>
    <row r="8" spans="1:15" ht="19.5" thickBot="1" thickTop="1">
      <c r="A8" s="6" t="s">
        <v>16</v>
      </c>
      <c r="B8" s="13">
        <v>121</v>
      </c>
      <c r="C8" s="11">
        <f>22500000/340.75</f>
        <v>66030.81438004402</v>
      </c>
      <c r="D8" s="11">
        <f>7000000/340.75</f>
        <v>20542.920029347028</v>
      </c>
      <c r="E8" s="11">
        <f>C8-D8</f>
        <v>45487.89435069699</v>
      </c>
      <c r="F8" s="124">
        <f>VLOOKUP(N8,$C$12:$D$16,2)</f>
        <v>24</v>
      </c>
      <c r="G8" s="80">
        <f>VLOOKUP(VALUE(LEFT(B8)),$A$12:$B$16,2)</f>
        <v>0.1</v>
      </c>
      <c r="H8" s="54">
        <f>-PMT(G8/12,F8,E8)</f>
        <v>2099.0355340616543</v>
      </c>
      <c r="I8" s="14">
        <v>614</v>
      </c>
      <c r="J8" s="11">
        <f>I8*HLOOKUP(VALUE(RIGHT(B8)),$B$18:$F$19,2)</f>
        <v>491.20000000000005</v>
      </c>
      <c r="K8" s="11">
        <f>IF(J8&lt;=$D$22,$E$22*J8,IF(J8&lt;$C$24,$E$23*J8,$E$24*J8))</f>
        <v>78.59200000000001</v>
      </c>
      <c r="L8" s="102">
        <f>J8+H8-K8</f>
        <v>2511.643534061654</v>
      </c>
      <c r="M8" s="109">
        <f>VALUE(LEFT(B8))</f>
        <v>1</v>
      </c>
      <c r="N8" s="105">
        <f>VALUE(MID(B8,2,1))</f>
        <v>2</v>
      </c>
      <c r="O8" s="110">
        <f>VALUE(RIGHT(B8))</f>
        <v>1</v>
      </c>
    </row>
    <row r="9" spans="1:15" ht="19.5" thickBot="1" thickTop="1">
      <c r="A9" s="16" t="s">
        <v>17</v>
      </c>
      <c r="B9" s="17">
        <v>534</v>
      </c>
      <c r="C9" s="18">
        <f>6300000/340.75</f>
        <v>18488.628026412327</v>
      </c>
      <c r="D9" s="18">
        <f>2200000/340.75</f>
        <v>6456.346294937637</v>
      </c>
      <c r="E9" s="18">
        <f>C9-D9</f>
        <v>12032.28173147469</v>
      </c>
      <c r="F9" s="125">
        <f>VLOOKUP(N9,$C$12:$D$16,2)</f>
        <v>12</v>
      </c>
      <c r="G9" s="81">
        <f>VLOOKUP(VALUE(LEFT(B9)),$A$12:$B$16,2)</f>
        <v>0.18</v>
      </c>
      <c r="H9" s="54">
        <f>-PMT(G9/12,F9,E9)</f>
        <v>1103.119503787357</v>
      </c>
      <c r="I9" s="19">
        <v>368</v>
      </c>
      <c r="J9" s="18">
        <f>I9*HLOOKUP(VALUE(RIGHT(B9)),$B$18:$F$19,2)</f>
        <v>552</v>
      </c>
      <c r="K9" s="18">
        <f>IF(J9&lt;=$D$22,$E$22*J9,IF(J9&lt;$C$24,$E$23*J9,$E$24*J9))</f>
        <v>104.88</v>
      </c>
      <c r="L9" s="103">
        <f>J9+H9-K9</f>
        <v>1550.239503787357</v>
      </c>
      <c r="M9" s="111">
        <f>VALUE(LEFT(B9))</f>
        <v>5</v>
      </c>
      <c r="N9" s="112">
        <f>VALUE(MID(B9,2,1))</f>
        <v>3</v>
      </c>
      <c r="O9" s="113">
        <f>VALUE(RIGHT(B9))</f>
        <v>4</v>
      </c>
    </row>
    <row r="10" ht="13.5" thickBot="1" thickTop="1"/>
    <row r="11" spans="1:6" ht="37.5" thickBot="1" thickTop="1">
      <c r="A11" s="57" t="s">
        <v>18</v>
      </c>
      <c r="B11" s="60" t="s">
        <v>19</v>
      </c>
      <c r="C11" s="57" t="s">
        <v>20</v>
      </c>
      <c r="D11" s="58" t="s">
        <v>6</v>
      </c>
      <c r="E11" s="22" t="s">
        <v>21</v>
      </c>
      <c r="F11" s="23" t="s">
        <v>22</v>
      </c>
    </row>
    <row r="12" spans="1:6" ht="19.5" thickBot="1" thickTop="1">
      <c r="A12" s="63">
        <v>1</v>
      </c>
      <c r="B12" s="64">
        <v>0.1</v>
      </c>
      <c r="C12" s="65">
        <v>1</v>
      </c>
      <c r="D12" s="66">
        <v>36</v>
      </c>
      <c r="E12" s="77">
        <f>COUNTIF(F5:F9,"&gt;=12")</f>
        <v>3</v>
      </c>
      <c r="F12" s="78">
        <f>SUMIF(F5:F9,"&gt;=12",E5:E9)</f>
        <v>75803.37490829053</v>
      </c>
    </row>
    <row r="13" spans="1:6" ht="24" thickTop="1">
      <c r="A13" s="67">
        <v>2</v>
      </c>
      <c r="B13" s="62">
        <v>0.115</v>
      </c>
      <c r="C13" s="59">
        <v>2</v>
      </c>
      <c r="D13" s="68">
        <v>24</v>
      </c>
      <c r="F13" s="116"/>
    </row>
    <row r="14" spans="1:4" ht="12">
      <c r="A14" s="67">
        <v>3</v>
      </c>
      <c r="B14" s="61">
        <v>0.14</v>
      </c>
      <c r="C14" s="59">
        <v>3</v>
      </c>
      <c r="D14" s="68">
        <v>12</v>
      </c>
    </row>
    <row r="15" spans="1:4" ht="12">
      <c r="A15" s="67">
        <v>4</v>
      </c>
      <c r="B15" s="61">
        <v>0.16</v>
      </c>
      <c r="C15" s="59">
        <v>4</v>
      </c>
      <c r="D15" s="68">
        <v>8</v>
      </c>
    </row>
    <row r="16" spans="1:4" ht="12.75" thickBot="1">
      <c r="A16" s="69">
        <v>5</v>
      </c>
      <c r="B16" s="70">
        <v>0.18</v>
      </c>
      <c r="C16" s="71">
        <v>5</v>
      </c>
      <c r="D16" s="72">
        <v>6</v>
      </c>
    </row>
    <row r="17" spans="1:5" ht="13.5" thickBot="1" thickTop="1">
      <c r="A17" s="33"/>
      <c r="B17" s="34"/>
      <c r="C17" s="33"/>
      <c r="D17" s="33"/>
      <c r="E17" s="33"/>
    </row>
    <row r="18" spans="1:6" ht="25.5" thickBot="1" thickTop="1">
      <c r="A18" s="22" t="s">
        <v>23</v>
      </c>
      <c r="B18" s="73">
        <v>1</v>
      </c>
      <c r="C18" s="73">
        <v>2</v>
      </c>
      <c r="D18" s="73">
        <v>3</v>
      </c>
      <c r="E18" s="73">
        <v>4</v>
      </c>
      <c r="F18" s="74">
        <v>5</v>
      </c>
    </row>
    <row r="19" spans="1:6" ht="24.75" thickBot="1">
      <c r="A19" s="35" t="s">
        <v>26</v>
      </c>
      <c r="B19" s="75">
        <v>0.8</v>
      </c>
      <c r="C19" s="75">
        <v>0.9</v>
      </c>
      <c r="D19" s="75">
        <v>1.2</v>
      </c>
      <c r="E19" s="75">
        <v>1.5</v>
      </c>
      <c r="F19" s="76">
        <v>2</v>
      </c>
    </row>
    <row r="20" ht="13.5" thickBot="1" thickTop="1"/>
    <row r="21" spans="1:5" ht="24.75" thickTop="1">
      <c r="A21" s="128" t="s">
        <v>24</v>
      </c>
      <c r="B21" s="129"/>
      <c r="C21" s="40" t="s">
        <v>27</v>
      </c>
      <c r="D21" s="41" t="s">
        <v>28</v>
      </c>
      <c r="E21" s="42" t="s">
        <v>25</v>
      </c>
    </row>
    <row r="22" spans="1:5" ht="12">
      <c r="A22" s="36"/>
      <c r="B22" s="33"/>
      <c r="C22" s="45">
        <v>0</v>
      </c>
      <c r="D22" s="46">
        <v>250</v>
      </c>
      <c r="E22" s="43">
        <v>0.12</v>
      </c>
    </row>
    <row r="23" spans="1:5" ht="12">
      <c r="A23" s="36"/>
      <c r="B23" s="33"/>
      <c r="C23" s="45">
        <v>251</v>
      </c>
      <c r="D23" s="46">
        <v>500</v>
      </c>
      <c r="E23" s="43">
        <v>0.16</v>
      </c>
    </row>
    <row r="24" spans="1:5" ht="12.75" thickBot="1">
      <c r="A24" s="37"/>
      <c r="B24" s="38"/>
      <c r="C24" s="47">
        <v>501</v>
      </c>
      <c r="D24" s="48" t="s">
        <v>29</v>
      </c>
      <c r="E24" s="44">
        <v>0.19</v>
      </c>
    </row>
    <row r="25" spans="1:5" ht="30.75" customHeight="1" thickTop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8" ht="12.75">
      <c r="A27"/>
      <c r="B27"/>
      <c r="C27" s="114">
        <v>-200000</v>
      </c>
      <c r="D27" s="115">
        <f>PMT(5.5%/12,360,C27)</f>
        <v>1135.5780026940047</v>
      </c>
      <c r="E27" s="115">
        <f>PMT(6%/12,360,C27)</f>
        <v>1199.101050305518</v>
      </c>
      <c r="G27" s="100"/>
      <c r="H27" s="100"/>
    </row>
    <row r="28" spans="1:8" ht="12.75">
      <c r="A28"/>
      <c r="B28"/>
      <c r="C28"/>
      <c r="D28" s="115">
        <f>D27*360</f>
        <v>408808.0809698417</v>
      </c>
      <c r="E28" s="115">
        <f>E27*360</f>
        <v>431676.3781099864</v>
      </c>
      <c r="G28" s="100"/>
      <c r="H28" s="99"/>
    </row>
    <row r="29" spans="1:5" ht="12.75">
      <c r="A29"/>
      <c r="B29"/>
      <c r="C29"/>
      <c r="D29"/>
      <c r="E29"/>
    </row>
    <row r="31" spans="3:4" ht="15">
      <c r="C31" s="120" t="s">
        <v>34</v>
      </c>
      <c r="D31" s="121">
        <v>100000</v>
      </c>
    </row>
    <row r="32" spans="3:4" ht="15">
      <c r="C32" s="120" t="s">
        <v>35</v>
      </c>
      <c r="D32" s="122">
        <v>0.11</v>
      </c>
    </row>
    <row r="35" spans="1:4" ht="15.75">
      <c r="A35" s="119" t="s">
        <v>30</v>
      </c>
      <c r="B35" s="119" t="s">
        <v>31</v>
      </c>
      <c r="C35" s="119" t="s">
        <v>32</v>
      </c>
      <c r="D35" s="119" t="s">
        <v>33</v>
      </c>
    </row>
    <row r="36" spans="1:4" ht="15">
      <c r="A36" s="117">
        <v>1</v>
      </c>
      <c r="B36" s="118">
        <f>-PMT($D$32/12,A36*12,$D$31)</f>
        <v>8838.165852160311</v>
      </c>
      <c r="C36" s="118">
        <f>B36*A36*12</f>
        <v>106057.99022592374</v>
      </c>
      <c r="D36" s="118">
        <f>C36-$D$31</f>
        <v>6057.990225923742</v>
      </c>
    </row>
    <row r="37" spans="1:4" ht="15">
      <c r="A37" s="117">
        <v>2</v>
      </c>
      <c r="B37" s="118">
        <f aca="true" t="shared" si="0" ref="B37:B65">-PMT($D$32/12,A37*12,$D$31)</f>
        <v>4660.7838196524635</v>
      </c>
      <c r="C37" s="118">
        <f aca="true" t="shared" si="1" ref="C37:C65">B37*A37*12</f>
        <v>111858.81167165912</v>
      </c>
      <c r="D37" s="118">
        <f aca="true" t="shared" si="2" ref="D37:D65">C37-$D$31</f>
        <v>11858.811671659118</v>
      </c>
    </row>
    <row r="38" spans="1:4" ht="15">
      <c r="A38" s="117">
        <v>3</v>
      </c>
      <c r="B38" s="118">
        <f t="shared" si="0"/>
        <v>3273.871711700176</v>
      </c>
      <c r="C38" s="118">
        <f t="shared" si="1"/>
        <v>117859.38162120634</v>
      </c>
      <c r="D38" s="118">
        <f t="shared" si="2"/>
        <v>17859.38162120634</v>
      </c>
    </row>
    <row r="39" spans="1:4" ht="15">
      <c r="A39" s="117">
        <v>4</v>
      </c>
      <c r="B39" s="118">
        <f t="shared" si="0"/>
        <v>2584.5522611452607</v>
      </c>
      <c r="C39" s="118">
        <f t="shared" si="1"/>
        <v>124058.50853497251</v>
      </c>
      <c r="D39" s="118">
        <f t="shared" si="2"/>
        <v>24058.508534972512</v>
      </c>
    </row>
    <row r="40" spans="1:4" ht="15">
      <c r="A40" s="117">
        <v>5</v>
      </c>
      <c r="B40" s="118">
        <f t="shared" si="0"/>
        <v>2174.242307264314</v>
      </c>
      <c r="C40" s="118">
        <f t="shared" si="1"/>
        <v>130454.53843585885</v>
      </c>
      <c r="D40" s="118">
        <f t="shared" si="2"/>
        <v>30454.53843585885</v>
      </c>
    </row>
    <row r="41" spans="1:4" ht="15">
      <c r="A41" s="117">
        <v>6</v>
      </c>
      <c r="B41" s="118">
        <f t="shared" si="0"/>
        <v>1903.407900070567</v>
      </c>
      <c r="C41" s="118">
        <f t="shared" si="1"/>
        <v>137045.36880508083</v>
      </c>
      <c r="D41" s="118">
        <f t="shared" si="2"/>
        <v>37045.36880508083</v>
      </c>
    </row>
    <row r="42" spans="1:4" ht="15">
      <c r="A42" s="117">
        <v>7</v>
      </c>
      <c r="B42" s="118">
        <f t="shared" si="0"/>
        <v>1712.2436434898643</v>
      </c>
      <c r="C42" s="118">
        <f t="shared" si="1"/>
        <v>143828.46605314862</v>
      </c>
      <c r="D42" s="118">
        <f t="shared" si="2"/>
        <v>43828.466053148615</v>
      </c>
    </row>
    <row r="43" spans="1:4" ht="15">
      <c r="A43" s="117">
        <v>8</v>
      </c>
      <c r="B43" s="118">
        <f t="shared" si="0"/>
        <v>1570.8425654608661</v>
      </c>
      <c r="C43" s="118">
        <f t="shared" si="1"/>
        <v>150800.88628424314</v>
      </c>
      <c r="D43" s="118">
        <f t="shared" si="2"/>
        <v>50800.88628424314</v>
      </c>
    </row>
    <row r="44" spans="1:4" ht="15">
      <c r="A44" s="117">
        <v>9</v>
      </c>
      <c r="B44" s="118">
        <f t="shared" si="0"/>
        <v>1462.5861020838265</v>
      </c>
      <c r="C44" s="118">
        <f t="shared" si="1"/>
        <v>157959.29902505327</v>
      </c>
      <c r="D44" s="118">
        <f t="shared" si="2"/>
        <v>57959.299025053275</v>
      </c>
    </row>
    <row r="45" spans="1:4" ht="15">
      <c r="A45" s="117">
        <v>10</v>
      </c>
      <c r="B45" s="118">
        <f t="shared" si="0"/>
        <v>1377.5001129192174</v>
      </c>
      <c r="C45" s="118">
        <f t="shared" si="1"/>
        <v>165300.0135503061</v>
      </c>
      <c r="D45" s="118">
        <f t="shared" si="2"/>
        <v>65300.01355030609</v>
      </c>
    </row>
    <row r="46" spans="1:4" ht="15">
      <c r="A46" s="117">
        <v>11</v>
      </c>
      <c r="B46" s="118">
        <f t="shared" si="0"/>
        <v>1309.2349046017819</v>
      </c>
      <c r="C46" s="118">
        <f t="shared" si="1"/>
        <v>172819.00740743522</v>
      </c>
      <c r="D46" s="118">
        <f t="shared" si="2"/>
        <v>72819.00740743522</v>
      </c>
    </row>
    <row r="47" spans="1:4" ht="15">
      <c r="A47" s="117">
        <v>12</v>
      </c>
      <c r="B47" s="118">
        <f t="shared" si="0"/>
        <v>1253.555255017449</v>
      </c>
      <c r="C47" s="118">
        <f t="shared" si="1"/>
        <v>180511.95672251267</v>
      </c>
      <c r="D47" s="118">
        <f t="shared" si="2"/>
        <v>80511.95672251267</v>
      </c>
    </row>
    <row r="48" spans="1:4" ht="15">
      <c r="A48" s="117">
        <v>13</v>
      </c>
      <c r="B48" s="118">
        <f t="shared" si="0"/>
        <v>1207.5273580691876</v>
      </c>
      <c r="C48" s="118">
        <f t="shared" si="1"/>
        <v>188374.26785879326</v>
      </c>
      <c r="D48" s="118">
        <f t="shared" si="2"/>
        <v>88374.26785879326</v>
      </c>
    </row>
    <row r="49" spans="1:4" ht="15">
      <c r="A49" s="117">
        <v>14</v>
      </c>
      <c r="B49" s="118">
        <f t="shared" si="0"/>
        <v>1169.0542261772532</v>
      </c>
      <c r="C49" s="118">
        <f t="shared" si="1"/>
        <v>196401.10999777855</v>
      </c>
      <c r="D49" s="118">
        <f t="shared" si="2"/>
        <v>96401.10999777855</v>
      </c>
    </row>
    <row r="50" spans="1:4" ht="15">
      <c r="A50" s="117">
        <v>15</v>
      </c>
      <c r="B50" s="118">
        <f t="shared" si="0"/>
        <v>1136.5969345560843</v>
      </c>
      <c r="C50" s="118">
        <f t="shared" si="1"/>
        <v>204587.4482200952</v>
      </c>
      <c r="D50" s="118">
        <f t="shared" si="2"/>
        <v>104587.44822009519</v>
      </c>
    </row>
    <row r="51" spans="1:4" ht="15">
      <c r="A51" s="117">
        <v>16</v>
      </c>
      <c r="B51" s="118">
        <f t="shared" si="0"/>
        <v>1109.000399369633</v>
      </c>
      <c r="C51" s="118">
        <f t="shared" si="1"/>
        <v>212928.07667896955</v>
      </c>
      <c r="D51" s="118">
        <f t="shared" si="2"/>
        <v>112928.07667896955</v>
      </c>
    </row>
    <row r="52" spans="1:4" ht="15">
      <c r="A52" s="117">
        <v>17</v>
      </c>
      <c r="B52" s="118">
        <f t="shared" si="0"/>
        <v>1085.3806445182659</v>
      </c>
      <c r="C52" s="118">
        <f t="shared" si="1"/>
        <v>221417.65148172627</v>
      </c>
      <c r="D52" s="118">
        <f t="shared" si="2"/>
        <v>121417.65148172627</v>
      </c>
    </row>
    <row r="53" spans="1:4" ht="15">
      <c r="A53" s="117">
        <v>18</v>
      </c>
      <c r="B53" s="118">
        <f t="shared" si="0"/>
        <v>1065.0496431642082</v>
      </c>
      <c r="C53" s="118">
        <f t="shared" si="1"/>
        <v>230050.72292346897</v>
      </c>
      <c r="D53" s="118">
        <f t="shared" si="2"/>
        <v>130050.72292346897</v>
      </c>
    </row>
    <row r="54" spans="1:4" ht="15">
      <c r="A54" s="117">
        <v>19</v>
      </c>
      <c r="B54" s="118">
        <f t="shared" si="0"/>
        <v>1047.463889257616</v>
      </c>
      <c r="C54" s="118">
        <f t="shared" si="1"/>
        <v>238821.76675073645</v>
      </c>
      <c r="D54" s="118">
        <f t="shared" si="2"/>
        <v>138821.76675073645</v>
      </c>
    </row>
    <row r="55" spans="1:4" ht="15">
      <c r="A55" s="117">
        <v>20</v>
      </c>
      <c r="B55" s="118">
        <f t="shared" si="0"/>
        <v>1032.188392376054</v>
      </c>
      <c r="C55" s="118">
        <f t="shared" si="1"/>
        <v>247725.21417025296</v>
      </c>
      <c r="D55" s="118">
        <f t="shared" si="2"/>
        <v>147725.21417025296</v>
      </c>
    </row>
    <row r="56" spans="1:4" ht="15">
      <c r="A56" s="117">
        <v>21</v>
      </c>
      <c r="B56" s="118">
        <f t="shared" si="0"/>
        <v>1018.8709538003325</v>
      </c>
      <c r="C56" s="118">
        <f t="shared" si="1"/>
        <v>256755.4803576838</v>
      </c>
      <c r="D56" s="118">
        <f t="shared" si="2"/>
        <v>156755.4803576838</v>
      </c>
    </row>
    <row r="57" spans="1:4" ht="15">
      <c r="A57" s="117">
        <v>22</v>
      </c>
      <c r="B57" s="118">
        <f t="shared" si="0"/>
        <v>1007.2234517515432</v>
      </c>
      <c r="C57" s="118">
        <f t="shared" si="1"/>
        <v>265906.9912624074</v>
      </c>
      <c r="D57" s="118">
        <f t="shared" si="2"/>
        <v>165906.9912624074</v>
      </c>
    </row>
    <row r="58" spans="1:4" ht="15">
      <c r="A58" s="117">
        <v>23</v>
      </c>
      <c r="B58" s="118">
        <f t="shared" si="0"/>
        <v>997.008001976876</v>
      </c>
      <c r="C58" s="118">
        <f t="shared" si="1"/>
        <v>275174.20854561776</v>
      </c>
      <c r="D58" s="118">
        <f t="shared" si="2"/>
        <v>175174.20854561776</v>
      </c>
    </row>
    <row r="59" spans="1:4" ht="15">
      <c r="A59" s="117">
        <v>24</v>
      </c>
      <c r="B59" s="118">
        <f t="shared" si="0"/>
        <v>988.0265712833718</v>
      </c>
      <c r="C59" s="118">
        <f t="shared" si="1"/>
        <v>284551.65252961114</v>
      </c>
      <c r="D59" s="118">
        <f t="shared" si="2"/>
        <v>184551.65252961114</v>
      </c>
    </row>
    <row r="60" spans="1:4" ht="15">
      <c r="A60" s="117">
        <v>25</v>
      </c>
      <c r="B60" s="118">
        <f t="shared" si="0"/>
        <v>980.1130769167472</v>
      </c>
      <c r="C60" s="118">
        <f t="shared" si="1"/>
        <v>294033.92307502415</v>
      </c>
      <c r="D60" s="118">
        <f t="shared" si="2"/>
        <v>194033.92307502415</v>
      </c>
    </row>
    <row r="61" spans="1:4" ht="15">
      <c r="A61" s="117">
        <v>26</v>
      </c>
      <c r="B61" s="118">
        <f t="shared" si="0"/>
        <v>973.1273023698012</v>
      </c>
      <c r="C61" s="118">
        <f t="shared" si="1"/>
        <v>303615.71833937796</v>
      </c>
      <c r="D61" s="118">
        <f t="shared" si="2"/>
        <v>203615.71833937796</v>
      </c>
    </row>
    <row r="62" spans="1:4" ht="15">
      <c r="A62" s="117">
        <v>27</v>
      </c>
      <c r="B62" s="118">
        <f t="shared" si="0"/>
        <v>966.9501586542282</v>
      </c>
      <c r="C62" s="118">
        <f t="shared" si="1"/>
        <v>313291.8514039699</v>
      </c>
      <c r="D62" s="118">
        <f t="shared" si="2"/>
        <v>213291.85140396992</v>
      </c>
    </row>
    <row r="63" spans="1:4" ht="15">
      <c r="A63" s="117">
        <v>28</v>
      </c>
      <c r="B63" s="118">
        <f t="shared" si="0"/>
        <v>961.4799547218546</v>
      </c>
      <c r="C63" s="118">
        <f t="shared" si="1"/>
        <v>323057.26478654315</v>
      </c>
      <c r="D63" s="118">
        <f t="shared" si="2"/>
        <v>223057.26478654315</v>
      </c>
    </row>
    <row r="64" spans="1:4" ht="15">
      <c r="A64" s="117">
        <v>29</v>
      </c>
      <c r="B64" s="118">
        <f t="shared" si="0"/>
        <v>956.6294335745997</v>
      </c>
      <c r="C64" s="118">
        <f t="shared" si="1"/>
        <v>332907.0428839607</v>
      </c>
      <c r="D64" s="118">
        <f t="shared" si="2"/>
        <v>232907.0428839607</v>
      </c>
    </row>
    <row r="65" spans="1:4" ht="15">
      <c r="A65" s="117">
        <v>30</v>
      </c>
      <c r="B65" s="118">
        <f t="shared" si="0"/>
        <v>952.3233955893985</v>
      </c>
      <c r="C65" s="118">
        <f t="shared" si="1"/>
        <v>342836.4224121834</v>
      </c>
      <c r="D65" s="118">
        <f t="shared" si="2"/>
        <v>242836.42241218343</v>
      </c>
    </row>
  </sheetData>
  <mergeCells count="1">
    <mergeCell ref="A21:B21"/>
  </mergeCells>
  <printOptions gridLines="1" headings="1" horizontalCentered="1" verticalCentered="1"/>
  <pageMargins left="0.39" right="0.59" top="0.58" bottom="0.61" header="0.29" footer="0.28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11.1
ΣΥΝΔΕΣΗ INTERNET&amp;R&amp;"Tahoma,Bold"&amp;8ΚΩΣΤΑΡΕΛΛΟΣ ΔΗΜΗΤΡΗΣ</oddHeader>
    <oddFooter>&amp;L&amp;"Tahoma,Bold"&amp;8ΟΝΟΜΑΤΕΠΩΝΥΜΟ ΣΠΟΥΔΑΣΤΗ&amp;R&amp;"Tahoma,Bold"&amp;8 237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ΚΩΣΤΑΡΕΛΛΟΣ  ΔΗΜΗΤΡΗΣ</dc:creator>
  <cp:keywords/>
  <dc:description/>
  <cp:lastModifiedBy>vyron</cp:lastModifiedBy>
  <cp:lastPrinted>2008-01-18T09:41:06Z</cp:lastPrinted>
  <dcterms:created xsi:type="dcterms:W3CDTF">2002-11-10T21:07:40Z</dcterms:created>
  <dcterms:modified xsi:type="dcterms:W3CDTF">2008-01-18T10:15:11Z</dcterms:modified>
  <cp:category/>
  <cp:version/>
  <cp:contentType/>
  <cp:contentStatus/>
</cp:coreProperties>
</file>